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 yWindow="-13" windowWidth="25161" windowHeight="3587" tabRatio="724" activeTab="4"/>
  </bookViews>
  <sheets>
    <sheet name="Koptame" sheetId="2" r:id="rId1"/>
    <sheet name="kops1" sheetId="22" r:id="rId2"/>
    <sheet name="1,1" sheetId="9" r:id="rId3"/>
    <sheet name="1,2" sheetId="10" r:id="rId4"/>
    <sheet name="1,3" sheetId="11" r:id="rId5"/>
    <sheet name="1,4" sheetId="12" r:id="rId6"/>
    <sheet name="1,5" sheetId="13" r:id="rId7"/>
    <sheet name="1,6" sheetId="14" r:id="rId8"/>
    <sheet name="1,7" sheetId="15" r:id="rId9"/>
    <sheet name="1,8" sheetId="16" r:id="rId10"/>
    <sheet name="1,9" sheetId="17" r:id="rId11"/>
    <sheet name="1,10" sheetId="18" r:id="rId12"/>
    <sheet name="1,11" sheetId="19" r:id="rId13"/>
    <sheet name="kops2" sheetId="33" r:id="rId14"/>
    <sheet name="2,1" sheetId="34" r:id="rId15"/>
    <sheet name="2,2" sheetId="35" r:id="rId16"/>
    <sheet name="2,3" sheetId="36" r:id="rId17"/>
    <sheet name="2,4" sheetId="37" r:id="rId18"/>
    <sheet name="2,5" sheetId="38" r:id="rId19"/>
    <sheet name="2,6" sheetId="39" r:id="rId20"/>
    <sheet name="2,7" sheetId="40" r:id="rId21"/>
    <sheet name="2,8" sheetId="41" r:id="rId22"/>
    <sheet name="2,9" sheetId="68" r:id="rId23"/>
    <sheet name="2,10" sheetId="42" r:id="rId24"/>
    <sheet name="2,11" sheetId="43" r:id="rId25"/>
    <sheet name="2,12" sheetId="44" r:id="rId26"/>
    <sheet name="2,13" sheetId="69" r:id="rId27"/>
    <sheet name="kops3" sheetId="54" r:id="rId28"/>
    <sheet name="3,1" sheetId="55" r:id="rId29"/>
    <sheet name="3,2" sheetId="56" r:id="rId30"/>
    <sheet name="3,3" sheetId="57" r:id="rId31"/>
    <sheet name="3,4" sheetId="58" r:id="rId32"/>
    <sheet name="3,5" sheetId="59" r:id="rId33"/>
    <sheet name="3,6" sheetId="60" r:id="rId34"/>
    <sheet name="3,7" sheetId="70" r:id="rId35"/>
    <sheet name="kops4" sheetId="65" r:id="rId36"/>
    <sheet name="4,1" sheetId="66" r:id="rId37"/>
  </sheets>
  <externalReferences>
    <externalReference r:id="rId38"/>
    <externalReference r:id="rId39"/>
  </externalReferences>
  <definedNames>
    <definedName name="_xlnm._FilterDatabase" localSheetId="26" hidden="1">'2,13'!$G$1:$G$156</definedName>
    <definedName name="_xlnm._FilterDatabase" localSheetId="34" hidden="1">'3,7'!$D$1:$D$82</definedName>
    <definedName name="A">'[1]2'!$A$1</definedName>
    <definedName name="P" localSheetId="2">#REF!</definedName>
    <definedName name="P" localSheetId="11">#REF!</definedName>
    <definedName name="P" localSheetId="12">#REF!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9">#REF!</definedName>
    <definedName name="P" localSheetId="10">#REF!</definedName>
    <definedName name="P" localSheetId="14">#REF!</definedName>
    <definedName name="P" localSheetId="23">#REF!</definedName>
    <definedName name="P" localSheetId="24">#REF!</definedName>
    <definedName name="P" localSheetId="25">#REF!</definedName>
    <definedName name="P" localSheetId="26">#REF!</definedName>
    <definedName name="P" localSheetId="15">#REF!</definedName>
    <definedName name="P" localSheetId="16">#REF!</definedName>
    <definedName name="P" localSheetId="17">#REF!</definedName>
    <definedName name="P" localSheetId="18">#REF!</definedName>
    <definedName name="P" localSheetId="19">#REF!</definedName>
    <definedName name="P" localSheetId="20">#REF!</definedName>
    <definedName name="P" localSheetId="21">#REF!</definedName>
    <definedName name="P" localSheetId="22">#REF!</definedName>
    <definedName name="P" localSheetId="28">#REF!</definedName>
    <definedName name="P" localSheetId="29">#REF!</definedName>
    <definedName name="P" localSheetId="30">#REF!</definedName>
    <definedName name="P" localSheetId="31">#REF!</definedName>
    <definedName name="P" localSheetId="32">#REF!</definedName>
    <definedName name="P" localSheetId="33">#REF!</definedName>
    <definedName name="P" localSheetId="34">#REF!</definedName>
    <definedName name="P" localSheetId="36">#REF!</definedName>
    <definedName name="P" localSheetId="1">#REF!</definedName>
    <definedName name="P" localSheetId="13">#REF!</definedName>
    <definedName name="P" localSheetId="27">#REF!</definedName>
    <definedName name="P" localSheetId="35">#REF!</definedName>
    <definedName name="P">#REF!</definedName>
    <definedName name="_xlnm.Print_Area" localSheetId="4">'1,3'!$A$1:$P$159</definedName>
    <definedName name="_xlnm.Print_Area" localSheetId="16">'2,3'!$A$1:$Q$115</definedName>
    <definedName name="_xlnm.Print_Area" localSheetId="30">'3,3'!$A$1:$Q$54</definedName>
    <definedName name="_xlnm.Print_Area" localSheetId="0">Koptame!$A$1:$D$45</definedName>
    <definedName name="_xlnm.Print_Titles" localSheetId="2">'1,1'!$11:$12</definedName>
    <definedName name="_xlnm.Print_Titles" localSheetId="11">'1,10'!$11:$12</definedName>
    <definedName name="_xlnm.Print_Titles" localSheetId="12">'1,11'!$11:$12</definedName>
    <definedName name="_xlnm.Print_Titles" localSheetId="3">'1,2'!$11:$12</definedName>
    <definedName name="_xlnm.Print_Titles" localSheetId="4">'1,3'!$11:$12</definedName>
    <definedName name="_xlnm.Print_Titles" localSheetId="5">'1,4'!$11:$12</definedName>
    <definedName name="_xlnm.Print_Titles" localSheetId="6">'1,5'!$11:$12</definedName>
    <definedName name="_xlnm.Print_Titles" localSheetId="7">'1,6'!$11:$12</definedName>
    <definedName name="_xlnm.Print_Titles" localSheetId="8">'1,7'!$11:$12</definedName>
    <definedName name="_xlnm.Print_Titles" localSheetId="9">'1,8'!$11:$12</definedName>
    <definedName name="_xlnm.Print_Titles" localSheetId="10">'1,9'!$11:$12</definedName>
    <definedName name="_xlnm.Print_Titles" localSheetId="14">'2,1'!$11:$12</definedName>
    <definedName name="_xlnm.Print_Titles" localSheetId="23">'2,10'!$11:$12</definedName>
    <definedName name="_xlnm.Print_Titles" localSheetId="24">'2,11'!$11:$12</definedName>
    <definedName name="_xlnm.Print_Titles" localSheetId="25">'2,12'!$11:$12</definedName>
    <definedName name="_xlnm.Print_Titles" localSheetId="26">'2,13'!$11:$12</definedName>
    <definedName name="_xlnm.Print_Titles" localSheetId="15">'2,2'!$11:$12</definedName>
    <definedName name="_xlnm.Print_Titles" localSheetId="16">'2,3'!$11:$12</definedName>
    <definedName name="_xlnm.Print_Titles" localSheetId="17">'2,4'!$11:$12</definedName>
    <definedName name="_xlnm.Print_Titles" localSheetId="18">'2,5'!$11:$12</definedName>
    <definedName name="_xlnm.Print_Titles" localSheetId="19">'2,6'!$11:$12</definedName>
    <definedName name="_xlnm.Print_Titles" localSheetId="20">'2,7'!$11:$12</definedName>
    <definedName name="_xlnm.Print_Titles" localSheetId="21">'2,8'!$11:$12</definedName>
    <definedName name="_xlnm.Print_Titles" localSheetId="22">'2,9'!$11:$12</definedName>
    <definedName name="_xlnm.Print_Titles" localSheetId="28">'3,1'!$11:$12</definedName>
    <definedName name="_xlnm.Print_Titles" localSheetId="29">'3,2'!$11:$12</definedName>
    <definedName name="_xlnm.Print_Titles" localSheetId="30">'3,3'!$11:$12</definedName>
    <definedName name="_xlnm.Print_Titles" localSheetId="31">'3,4'!$11:$12</definedName>
    <definedName name="_xlnm.Print_Titles" localSheetId="32">'3,5'!$11:$12</definedName>
    <definedName name="_xlnm.Print_Titles" localSheetId="33">'3,6'!$11:$12</definedName>
    <definedName name="_xlnm.Print_Titles" localSheetId="34">'3,7'!$11:$12</definedName>
    <definedName name="_xlnm.Print_Titles" localSheetId="36">'4,1'!$11:$12</definedName>
    <definedName name="_xlnm.Print_Titles" localSheetId="1">kops1!$18:$19</definedName>
    <definedName name="_xlnm.Print_Titles" localSheetId="13">kops2!$18:$19</definedName>
    <definedName name="_xlnm.Print_Titles" localSheetId="27">kops3!$18:$19</definedName>
    <definedName name="_xlnm.Print_Titles" localSheetId="35">kops4!$18:$19</definedName>
  </definedNames>
  <calcPr calcId="145621"/>
</workbook>
</file>

<file path=xl/calcChain.xml><?xml version="1.0" encoding="utf-8"?>
<calcChain xmlns="http://schemas.openxmlformats.org/spreadsheetml/2006/main">
  <c r="Q56" i="58" l="1"/>
  <c r="L14" i="58"/>
  <c r="M14" i="58"/>
  <c r="N14" i="58"/>
  <c r="Q14" i="58" s="1"/>
  <c r="O14" i="58"/>
  <c r="P14" i="58"/>
  <c r="L15" i="58"/>
  <c r="M15" i="58"/>
  <c r="N15" i="58"/>
  <c r="O15" i="58"/>
  <c r="P15" i="58"/>
  <c r="L16" i="58"/>
  <c r="M16" i="58"/>
  <c r="N16" i="58"/>
  <c r="O16" i="58"/>
  <c r="P16" i="58"/>
  <c r="L17" i="58"/>
  <c r="M17" i="58"/>
  <c r="N17" i="58"/>
  <c r="O17" i="58"/>
  <c r="P17" i="58"/>
  <c r="L18" i="58"/>
  <c r="M18" i="58"/>
  <c r="N18" i="58"/>
  <c r="O18" i="58"/>
  <c r="P18" i="58"/>
  <c r="L19" i="58"/>
  <c r="M19" i="58"/>
  <c r="N19" i="58"/>
  <c r="O19" i="58"/>
  <c r="P19" i="58"/>
  <c r="L20" i="58"/>
  <c r="M20" i="58"/>
  <c r="N20" i="58"/>
  <c r="O20" i="58"/>
  <c r="P20" i="58"/>
  <c r="L21" i="58"/>
  <c r="M21" i="58"/>
  <c r="N21" i="58"/>
  <c r="Q21" i="58" s="1"/>
  <c r="O21" i="58"/>
  <c r="P21" i="58"/>
  <c r="L22" i="58"/>
  <c r="M22" i="58"/>
  <c r="N22" i="58"/>
  <c r="O22" i="58"/>
  <c r="P22" i="58"/>
  <c r="L23" i="58"/>
  <c r="M23" i="58"/>
  <c r="N23" i="58"/>
  <c r="O23" i="58"/>
  <c r="P23" i="58"/>
  <c r="L24" i="58"/>
  <c r="M24" i="58"/>
  <c r="N24" i="58"/>
  <c r="O24" i="58"/>
  <c r="P24" i="58"/>
  <c r="L25" i="58"/>
  <c r="M25" i="58"/>
  <c r="N25" i="58"/>
  <c r="Q25" i="58" s="1"/>
  <c r="O25" i="58"/>
  <c r="P25" i="58"/>
  <c r="L26" i="58"/>
  <c r="M26" i="58"/>
  <c r="N26" i="58"/>
  <c r="O26" i="58"/>
  <c r="P26" i="58"/>
  <c r="Q26" i="58"/>
  <c r="L27" i="58"/>
  <c r="M27" i="58"/>
  <c r="N27" i="58"/>
  <c r="O27" i="58"/>
  <c r="Q27" i="58" s="1"/>
  <c r="P27" i="58"/>
  <c r="L28" i="58"/>
  <c r="M28" i="58"/>
  <c r="N28" i="58"/>
  <c r="Q28" i="58" s="1"/>
  <c r="O28" i="58"/>
  <c r="P28" i="58"/>
  <c r="L29" i="58"/>
  <c r="M29" i="58"/>
  <c r="N29" i="58"/>
  <c r="O29" i="58"/>
  <c r="P29" i="58"/>
  <c r="L30" i="58"/>
  <c r="M30" i="58"/>
  <c r="N30" i="58"/>
  <c r="O30" i="58"/>
  <c r="Q30" i="58" s="1"/>
  <c r="P30" i="58"/>
  <c r="L31" i="58"/>
  <c r="M31" i="58"/>
  <c r="N31" i="58"/>
  <c r="O31" i="58"/>
  <c r="P31" i="58"/>
  <c r="L32" i="58"/>
  <c r="M32" i="58"/>
  <c r="N32" i="58"/>
  <c r="O32" i="58"/>
  <c r="P32" i="58"/>
  <c r="Q32" i="58"/>
  <c r="L33" i="58"/>
  <c r="M33" i="58"/>
  <c r="N33" i="58"/>
  <c r="O33" i="58"/>
  <c r="Q33" i="58" s="1"/>
  <c r="P33" i="58"/>
  <c r="L34" i="58"/>
  <c r="M34" i="58"/>
  <c r="N34" i="58"/>
  <c r="O34" i="58"/>
  <c r="P34" i="58"/>
  <c r="L35" i="58"/>
  <c r="M35" i="58"/>
  <c r="N35" i="58"/>
  <c r="O35" i="58"/>
  <c r="P35" i="58"/>
  <c r="Q35" i="58" s="1"/>
  <c r="L36" i="58"/>
  <c r="M36" i="58"/>
  <c r="N36" i="58"/>
  <c r="O36" i="58"/>
  <c r="P36" i="58"/>
  <c r="L37" i="58"/>
  <c r="M37" i="58"/>
  <c r="N37" i="58"/>
  <c r="O37" i="58"/>
  <c r="P37" i="58"/>
  <c r="Q37" i="58"/>
  <c r="M38" i="58"/>
  <c r="O38" i="58"/>
  <c r="P38" i="58"/>
  <c r="M39" i="58"/>
  <c r="O39" i="58"/>
  <c r="P39" i="58"/>
  <c r="M40" i="58"/>
  <c r="O40" i="58"/>
  <c r="P40" i="58"/>
  <c r="M41" i="58"/>
  <c r="O41" i="58"/>
  <c r="P41" i="58"/>
  <c r="M42" i="58"/>
  <c r="O42" i="58"/>
  <c r="P42" i="58"/>
  <c r="L43" i="58"/>
  <c r="M43" i="58"/>
  <c r="N43" i="58"/>
  <c r="O43" i="58"/>
  <c r="P43" i="58"/>
  <c r="Q43" i="58" s="1"/>
  <c r="M44" i="58"/>
  <c r="O44" i="58"/>
  <c r="P44" i="58"/>
  <c r="M45" i="58"/>
  <c r="O45" i="58"/>
  <c r="P45" i="58"/>
  <c r="M46" i="58"/>
  <c r="O46" i="58"/>
  <c r="P46" i="58"/>
  <c r="M47" i="58"/>
  <c r="O47" i="58"/>
  <c r="P47" i="58"/>
  <c r="M48" i="58"/>
  <c r="O48" i="58"/>
  <c r="P48" i="58"/>
  <c r="M49" i="58"/>
  <c r="O49" i="58"/>
  <c r="P49" i="58"/>
  <c r="L50" i="58"/>
  <c r="N50" i="58"/>
  <c r="O50" i="58"/>
  <c r="P50" i="58"/>
  <c r="M51" i="58"/>
  <c r="O51" i="58"/>
  <c r="M52" i="58"/>
  <c r="O52" i="58"/>
  <c r="M53" i="58"/>
  <c r="O53" i="58"/>
  <c r="M54" i="58"/>
  <c r="O54" i="58"/>
  <c r="I54" i="58"/>
  <c r="K54" i="58" s="1"/>
  <c r="P54" i="58" s="1"/>
  <c r="I53" i="58"/>
  <c r="K53" i="58" s="1"/>
  <c r="P53" i="58" s="1"/>
  <c r="I52" i="58"/>
  <c r="K52" i="58" s="1"/>
  <c r="P52" i="58" s="1"/>
  <c r="I51" i="58"/>
  <c r="K51" i="58" s="1"/>
  <c r="P51" i="58" s="1"/>
  <c r="G50" i="58"/>
  <c r="M50" i="58" s="1"/>
  <c r="I49" i="58"/>
  <c r="N49" i="58" s="1"/>
  <c r="Q49" i="58" s="1"/>
  <c r="I48" i="58"/>
  <c r="L48" i="58" s="1"/>
  <c r="I47" i="58"/>
  <c r="N47" i="58" s="1"/>
  <c r="Q47" i="58" s="1"/>
  <c r="I46" i="58"/>
  <c r="N46" i="58" s="1"/>
  <c r="Q46" i="58" s="1"/>
  <c r="I45" i="58"/>
  <c r="L45" i="58" s="1"/>
  <c r="I44" i="58"/>
  <c r="N44" i="58" s="1"/>
  <c r="Q44" i="58" s="1"/>
  <c r="I42" i="58"/>
  <c r="L42" i="58" s="1"/>
  <c r="I41" i="58"/>
  <c r="N41" i="58" s="1"/>
  <c r="Q41" i="58" s="1"/>
  <c r="I40" i="58"/>
  <c r="L40" i="58" s="1"/>
  <c r="I39" i="58"/>
  <c r="N39" i="58" s="1"/>
  <c r="Q39" i="58" s="1"/>
  <c r="I38" i="58"/>
  <c r="N38" i="58" s="1"/>
  <c r="A39" i="58"/>
  <c r="A40" i="58" s="1"/>
  <c r="A41" i="58" s="1"/>
  <c r="A42" i="58" s="1"/>
  <c r="A43" i="58" s="1"/>
  <c r="A44" i="58" s="1"/>
  <c r="A45" i="58" s="1"/>
  <c r="A46" i="58" s="1"/>
  <c r="A47" i="58" s="1"/>
  <c r="A48" i="58" s="1"/>
  <c r="A49" i="58" s="1"/>
  <c r="A50" i="58" s="1"/>
  <c r="A51" i="58" s="1"/>
  <c r="A52" i="58" s="1"/>
  <c r="A53" i="58" s="1"/>
  <c r="A54" i="58" s="1"/>
  <c r="Q48" i="44"/>
  <c r="L54" i="58" l="1"/>
  <c r="N52" i="58"/>
  <c r="Q52" i="58" s="1"/>
  <c r="N48" i="58"/>
  <c r="Q48" i="58" s="1"/>
  <c r="L47" i="58"/>
  <c r="L44" i="58"/>
  <c r="N40" i="58"/>
  <c r="L39" i="58"/>
  <c r="Q34" i="58"/>
  <c r="Q23" i="58"/>
  <c r="Q19" i="58"/>
  <c r="Q15" i="58"/>
  <c r="L53" i="58"/>
  <c r="N51" i="58"/>
  <c r="Q51" i="58" s="1"/>
  <c r="L49" i="58"/>
  <c r="L46" i="58"/>
  <c r="N45" i="58"/>
  <c r="Q45" i="58" s="1"/>
  <c r="N42" i="58"/>
  <c r="Q42" i="58" s="1"/>
  <c r="L41" i="58"/>
  <c r="L38" i="58"/>
  <c r="Q36" i="58"/>
  <c r="Q31" i="58"/>
  <c r="Q22" i="58"/>
  <c r="Q18" i="58"/>
  <c r="N54" i="58"/>
  <c r="Q54" i="58" s="1"/>
  <c r="L52" i="58"/>
  <c r="Q50" i="58"/>
  <c r="Q38" i="58"/>
  <c r="Q17" i="58"/>
  <c r="N53" i="58"/>
  <c r="Q53" i="58" s="1"/>
  <c r="L51" i="58"/>
  <c r="Q40" i="58"/>
  <c r="Q29" i="58"/>
  <c r="Q24" i="58"/>
  <c r="Q20" i="58"/>
  <c r="Q16" i="58"/>
  <c r="L14" i="40" l="1"/>
  <c r="M14" i="40"/>
  <c r="N14" i="40"/>
  <c r="Q14" i="40" s="1"/>
  <c r="O14" i="40"/>
  <c r="P14" i="40"/>
  <c r="M15" i="40"/>
  <c r="O15" i="40"/>
  <c r="M16" i="40"/>
  <c r="O16" i="40"/>
  <c r="M17" i="40"/>
  <c r="O17" i="40"/>
  <c r="M18" i="40"/>
  <c r="O18" i="40"/>
  <c r="M19" i="40"/>
  <c r="O19" i="40"/>
  <c r="M20" i="40"/>
  <c r="O20" i="40"/>
  <c r="M21" i="40"/>
  <c r="N21" i="40"/>
  <c r="O21" i="40"/>
  <c r="M22" i="40"/>
  <c r="O22" i="40"/>
  <c r="M23" i="40"/>
  <c r="O23" i="40"/>
  <c r="M24" i="40"/>
  <c r="O24" i="40"/>
  <c r="M25" i="40"/>
  <c r="O25" i="40"/>
  <c r="M26" i="40"/>
  <c r="O26" i="40"/>
  <c r="M27" i="40"/>
  <c r="O27" i="40"/>
  <c r="M28" i="40"/>
  <c r="O28" i="40"/>
  <c r="M29" i="40"/>
  <c r="O29" i="40"/>
  <c r="M30" i="40"/>
  <c r="O30" i="40"/>
  <c r="M31" i="40"/>
  <c r="O31" i="40"/>
  <c r="M32" i="40"/>
  <c r="O32" i="40"/>
  <c r="M33" i="40"/>
  <c r="O33" i="40"/>
  <c r="M34" i="40"/>
  <c r="O34" i="40"/>
  <c r="M35" i="40"/>
  <c r="O35" i="40"/>
  <c r="M36" i="40"/>
  <c r="O36" i="40"/>
  <c r="L37" i="40"/>
  <c r="M37" i="40"/>
  <c r="N37" i="40"/>
  <c r="O37" i="40"/>
  <c r="Q37" i="40" s="1"/>
  <c r="P37" i="40"/>
  <c r="M38" i="40"/>
  <c r="O38" i="40"/>
  <c r="M39" i="40"/>
  <c r="O39" i="40"/>
  <c r="M40" i="40"/>
  <c r="O40" i="40"/>
  <c r="M41" i="40"/>
  <c r="O41" i="40"/>
  <c r="M42" i="40"/>
  <c r="O42" i="40"/>
  <c r="M43" i="40"/>
  <c r="O43" i="40"/>
  <c r="M44" i="40"/>
  <c r="O44" i="40"/>
  <c r="M45" i="40"/>
  <c r="O45" i="40"/>
  <c r="M46" i="40"/>
  <c r="O46" i="40"/>
  <c r="M47" i="40"/>
  <c r="O47" i="40"/>
  <c r="M48" i="40"/>
  <c r="O48" i="40"/>
  <c r="M49" i="40"/>
  <c r="O49" i="40"/>
  <c r="M50" i="40"/>
  <c r="O50" i="40"/>
  <c r="M51" i="40"/>
  <c r="O51" i="40"/>
  <c r="M52" i="40"/>
  <c r="O52" i="40"/>
  <c r="M53" i="40"/>
  <c r="O53" i="40"/>
  <c r="M54" i="40"/>
  <c r="O54" i="40"/>
  <c r="M55" i="40"/>
  <c r="O55" i="40"/>
  <c r="M56" i="40"/>
  <c r="O56" i="40"/>
  <c r="L57" i="40"/>
  <c r="M57" i="40"/>
  <c r="N57" i="40"/>
  <c r="O57" i="40"/>
  <c r="P57" i="40"/>
  <c r="M58" i="40"/>
  <c r="O58" i="40"/>
  <c r="M59" i="40"/>
  <c r="O59" i="40"/>
  <c r="M60" i="40"/>
  <c r="O60" i="40"/>
  <c r="M61" i="40"/>
  <c r="O61" i="40"/>
  <c r="M62" i="40"/>
  <c r="O62" i="40"/>
  <c r="M63" i="40"/>
  <c r="O63" i="40"/>
  <c r="M64" i="40"/>
  <c r="O64" i="40"/>
  <c r="M65" i="40"/>
  <c r="O65" i="40"/>
  <c r="M66" i="40"/>
  <c r="O66" i="40"/>
  <c r="M67" i="40"/>
  <c r="O67" i="40"/>
  <c r="P67" i="40"/>
  <c r="M68" i="40"/>
  <c r="O68" i="40"/>
  <c r="M69" i="40"/>
  <c r="O69" i="40"/>
  <c r="M70" i="40"/>
  <c r="O70" i="40"/>
  <c r="M71" i="40"/>
  <c r="O71" i="40"/>
  <c r="M72" i="40"/>
  <c r="O72" i="40"/>
  <c r="M73" i="40"/>
  <c r="O73" i="40"/>
  <c r="M74" i="40"/>
  <c r="O74" i="40"/>
  <c r="L75" i="40"/>
  <c r="M75" i="40"/>
  <c r="N75" i="40"/>
  <c r="O75" i="40"/>
  <c r="Q75" i="40" s="1"/>
  <c r="P75" i="40"/>
  <c r="M76" i="40"/>
  <c r="O76" i="40"/>
  <c r="M77" i="40"/>
  <c r="O77" i="40"/>
  <c r="M78" i="40"/>
  <c r="O78" i="40"/>
  <c r="M79" i="40"/>
  <c r="O79" i="40"/>
  <c r="M80" i="40"/>
  <c r="O80" i="40"/>
  <c r="M81" i="40"/>
  <c r="O81" i="40"/>
  <c r="M82" i="40"/>
  <c r="O82" i="40"/>
  <c r="M83" i="40"/>
  <c r="O83" i="40"/>
  <c r="M84" i="40"/>
  <c r="O84" i="40"/>
  <c r="M85" i="40"/>
  <c r="O85" i="40"/>
  <c r="M86" i="40"/>
  <c r="O86" i="40"/>
  <c r="M87" i="40"/>
  <c r="O87" i="40"/>
  <c r="M88" i="40"/>
  <c r="O88" i="40"/>
  <c r="M89" i="40"/>
  <c r="O89" i="40"/>
  <c r="M90" i="40"/>
  <c r="O90" i="40"/>
  <c r="L91" i="40"/>
  <c r="M91" i="40"/>
  <c r="N91" i="40"/>
  <c r="O91" i="40"/>
  <c r="Q91" i="40" s="1"/>
  <c r="P91" i="40"/>
  <c r="M92" i="40"/>
  <c r="O92" i="40"/>
  <c r="M93" i="40"/>
  <c r="O93" i="40"/>
  <c r="M94" i="40"/>
  <c r="O94" i="40"/>
  <c r="M95" i="40"/>
  <c r="O95" i="40"/>
  <c r="M96" i="40"/>
  <c r="O96" i="40"/>
  <c r="M97" i="40"/>
  <c r="O97" i="40"/>
  <c r="M98" i="40"/>
  <c r="O98" i="40"/>
  <c r="M99" i="40"/>
  <c r="O99" i="40"/>
  <c r="M100" i="40"/>
  <c r="O100" i="40"/>
  <c r="M101" i="40"/>
  <c r="O101" i="40"/>
  <c r="M102" i="40"/>
  <c r="O102" i="40"/>
  <c r="M103" i="40"/>
  <c r="O103" i="40"/>
  <c r="M104" i="40"/>
  <c r="O104" i="40"/>
  <c r="M105" i="40"/>
  <c r="O105" i="40"/>
  <c r="M106" i="40"/>
  <c r="O106" i="40"/>
  <c r="M107" i="40"/>
  <c r="O107" i="40"/>
  <c r="M108" i="40"/>
  <c r="O108" i="40"/>
  <c r="M109" i="40"/>
  <c r="O109" i="40"/>
  <c r="M110" i="40"/>
  <c r="O110" i="40"/>
  <c r="M111" i="40"/>
  <c r="O111" i="40"/>
  <c r="M112" i="40"/>
  <c r="O112" i="40"/>
  <c r="M113" i="40"/>
  <c r="O113" i="40"/>
  <c r="M114" i="40"/>
  <c r="O114" i="40"/>
  <c r="M115" i="40"/>
  <c r="O115" i="40"/>
  <c r="M116" i="40"/>
  <c r="N116" i="40"/>
  <c r="O116" i="40"/>
  <c r="L117" i="40"/>
  <c r="M117" i="40"/>
  <c r="N117" i="40"/>
  <c r="O117" i="40"/>
  <c r="P117" i="40"/>
  <c r="M118" i="40"/>
  <c r="O118" i="40"/>
  <c r="M119" i="40"/>
  <c r="O119" i="40"/>
  <c r="M120" i="40"/>
  <c r="O120" i="40"/>
  <c r="M121" i="40"/>
  <c r="O121" i="40"/>
  <c r="M122" i="40"/>
  <c r="O122" i="40"/>
  <c r="M123" i="40"/>
  <c r="O123" i="40"/>
  <c r="M124" i="40"/>
  <c r="O124" i="40"/>
  <c r="M125" i="40"/>
  <c r="O125" i="40"/>
  <c r="M126" i="40"/>
  <c r="O126" i="40"/>
  <c r="M127" i="40"/>
  <c r="O127" i="40"/>
  <c r="M128" i="40"/>
  <c r="O128" i="40"/>
  <c r="M129" i="40"/>
  <c r="O129" i="40"/>
  <c r="M130" i="40"/>
  <c r="O130" i="40"/>
  <c r="M131" i="40"/>
  <c r="O131" i="40"/>
  <c r="M132" i="40"/>
  <c r="O132" i="40"/>
  <c r="M133" i="40"/>
  <c r="O133" i="40"/>
  <c r="M134" i="40"/>
  <c r="O134" i="40"/>
  <c r="M135" i="40"/>
  <c r="O135" i="40"/>
  <c r="M136" i="40"/>
  <c r="O136" i="40"/>
  <c r="M137" i="40"/>
  <c r="O137" i="40"/>
  <c r="L138" i="40"/>
  <c r="M138" i="40"/>
  <c r="N138" i="40"/>
  <c r="O138" i="40"/>
  <c r="P138" i="40"/>
  <c r="M139" i="40"/>
  <c r="O139" i="40"/>
  <c r="M140" i="40"/>
  <c r="O140" i="40"/>
  <c r="M141" i="40"/>
  <c r="O141" i="40"/>
  <c r="M142" i="40"/>
  <c r="O142" i="40"/>
  <c r="M143" i="40"/>
  <c r="O143" i="40"/>
  <c r="M144" i="40"/>
  <c r="O144" i="40"/>
  <c r="M145" i="40"/>
  <c r="O145" i="40"/>
  <c r="M146" i="40"/>
  <c r="O146" i="40"/>
  <c r="M147" i="40"/>
  <c r="O147" i="40"/>
  <c r="M148" i="40"/>
  <c r="O148" i="40"/>
  <c r="M149" i="40"/>
  <c r="O149" i="40"/>
  <c r="M150" i="40"/>
  <c r="O150" i="40"/>
  <c r="M151" i="40"/>
  <c r="O151" i="40"/>
  <c r="M152" i="40"/>
  <c r="O152" i="40"/>
  <c r="M153" i="40"/>
  <c r="O153" i="40"/>
  <c r="M154" i="40"/>
  <c r="O154" i="40"/>
  <c r="M155" i="40"/>
  <c r="O155" i="40"/>
  <c r="M156" i="40"/>
  <c r="O156" i="40"/>
  <c r="M157" i="40"/>
  <c r="O157" i="40"/>
  <c r="M158" i="40"/>
  <c r="O158" i="40"/>
  <c r="M159" i="40"/>
  <c r="O159" i="40"/>
  <c r="M160" i="40"/>
  <c r="O160" i="40"/>
  <c r="M161" i="40"/>
  <c r="O161" i="40"/>
  <c r="M162" i="40"/>
  <c r="O162" i="40"/>
  <c r="M163" i="40"/>
  <c r="O163" i="40"/>
  <c r="M164" i="40"/>
  <c r="O164" i="40"/>
  <c r="M165" i="40"/>
  <c r="O165" i="40"/>
  <c r="M166" i="40"/>
  <c r="O166" i="40"/>
  <c r="M167" i="40"/>
  <c r="O167" i="40"/>
  <c r="M168" i="40"/>
  <c r="O168" i="40"/>
  <c r="M169" i="40"/>
  <c r="O169" i="40"/>
  <c r="M170" i="40"/>
  <c r="O170" i="40"/>
  <c r="M171" i="40"/>
  <c r="O171" i="40"/>
  <c r="M172" i="40"/>
  <c r="O172" i="40"/>
  <c r="M173" i="40"/>
  <c r="O173" i="40"/>
  <c r="M174" i="40"/>
  <c r="O174" i="40"/>
  <c r="M175" i="40"/>
  <c r="O175" i="40"/>
  <c r="M176" i="40"/>
  <c r="O176" i="40"/>
  <c r="M177" i="40"/>
  <c r="O177" i="40"/>
  <c r="M178" i="40"/>
  <c r="O178" i="40"/>
  <c r="M179" i="40"/>
  <c r="O179" i="40"/>
  <c r="M180" i="40"/>
  <c r="O180" i="40"/>
  <c r="M181" i="40"/>
  <c r="O181" i="40"/>
  <c r="M182" i="40"/>
  <c r="O182" i="40"/>
  <c r="M183" i="40"/>
  <c r="O183" i="40"/>
  <c r="M184" i="40"/>
  <c r="O184" i="40"/>
  <c r="P184" i="40"/>
  <c r="M185" i="40"/>
  <c r="O185" i="40"/>
  <c r="P185" i="40"/>
  <c r="M186" i="40"/>
  <c r="O186" i="40"/>
  <c r="M187" i="40"/>
  <c r="O187" i="40"/>
  <c r="M188" i="40"/>
  <c r="N188" i="40"/>
  <c r="O188" i="40"/>
  <c r="M189" i="40"/>
  <c r="N189" i="40"/>
  <c r="O189" i="40"/>
  <c r="M190" i="40"/>
  <c r="O190" i="40"/>
  <c r="M191" i="40"/>
  <c r="O191" i="40"/>
  <c r="M192" i="40"/>
  <c r="O192" i="40"/>
  <c r="M193" i="40"/>
  <c r="O193" i="40"/>
  <c r="M194" i="40"/>
  <c r="O194" i="40"/>
  <c r="M195" i="40"/>
  <c r="O195" i="40"/>
  <c r="M196" i="40"/>
  <c r="O196" i="40"/>
  <c r="M197" i="40"/>
  <c r="O197" i="40"/>
  <c r="M198" i="40"/>
  <c r="O198" i="40"/>
  <c r="M199" i="40"/>
  <c r="O199" i="40"/>
  <c r="M200" i="40"/>
  <c r="O200" i="40"/>
  <c r="M201" i="40"/>
  <c r="O201" i="40"/>
  <c r="M202" i="40"/>
  <c r="O202" i="40"/>
  <c r="M203" i="40"/>
  <c r="O203" i="40"/>
  <c r="M204" i="40"/>
  <c r="O204" i="40"/>
  <c r="M205" i="40"/>
  <c r="O205" i="40"/>
  <c r="M206" i="40"/>
  <c r="O206" i="40"/>
  <c r="M207" i="40"/>
  <c r="O207" i="40"/>
  <c r="M208" i="40"/>
  <c r="O208" i="40"/>
  <c r="M209" i="40"/>
  <c r="O209" i="40"/>
  <c r="M210" i="40"/>
  <c r="O210" i="40"/>
  <c r="M211" i="40"/>
  <c r="O211" i="40"/>
  <c r="I211" i="40"/>
  <c r="K211" i="40" s="1"/>
  <c r="P211" i="40" s="1"/>
  <c r="I210" i="40"/>
  <c r="K210" i="40" s="1"/>
  <c r="P210" i="40" s="1"/>
  <c r="I209" i="40"/>
  <c r="K209" i="40" s="1"/>
  <c r="P209" i="40" s="1"/>
  <c r="I208" i="40"/>
  <c r="I207" i="40"/>
  <c r="I206" i="40"/>
  <c r="N206" i="40" s="1"/>
  <c r="I205" i="40"/>
  <c r="N205" i="40" s="1"/>
  <c r="I204" i="40"/>
  <c r="I203" i="40"/>
  <c r="I202" i="40"/>
  <c r="I201" i="40"/>
  <c r="I200" i="40"/>
  <c r="N200" i="40" s="1"/>
  <c r="I199" i="40"/>
  <c r="I198" i="40"/>
  <c r="N198" i="40" s="1"/>
  <c r="I197" i="40"/>
  <c r="I196" i="40"/>
  <c r="I195" i="40"/>
  <c r="I194" i="40"/>
  <c r="I193" i="40"/>
  <c r="I192" i="40"/>
  <c r="I191" i="40"/>
  <c r="I190" i="40"/>
  <c r="N190" i="40" s="1"/>
  <c r="K188" i="40"/>
  <c r="L188" i="40" s="1"/>
  <c r="I187" i="40"/>
  <c r="I186" i="40"/>
  <c r="I185" i="40"/>
  <c r="N185" i="40" s="1"/>
  <c r="I184" i="40"/>
  <c r="L184" i="40" s="1"/>
  <c r="I183" i="40"/>
  <c r="I182" i="40"/>
  <c r="I181" i="40"/>
  <c r="N181" i="40" s="1"/>
  <c r="K189" i="40"/>
  <c r="I180" i="40"/>
  <c r="I179" i="40"/>
  <c r="I178" i="40"/>
  <c r="I177" i="40"/>
  <c r="I176" i="40"/>
  <c r="I175" i="40"/>
  <c r="I174" i="40"/>
  <c r="I173" i="40"/>
  <c r="I172" i="40"/>
  <c r="I171" i="40"/>
  <c r="I170" i="40"/>
  <c r="I169" i="40"/>
  <c r="I168" i="40"/>
  <c r="I167" i="40"/>
  <c r="I166" i="40"/>
  <c r="I165" i="40"/>
  <c r="I164" i="40"/>
  <c r="I163" i="40"/>
  <c r="I162" i="40"/>
  <c r="I161" i="40"/>
  <c r="I160" i="40"/>
  <c r="I159" i="40"/>
  <c r="I158" i="40"/>
  <c r="I157" i="40"/>
  <c r="I156" i="40"/>
  <c r="I155" i="40"/>
  <c r="I154" i="40"/>
  <c r="I153" i="40"/>
  <c r="I152" i="40"/>
  <c r="I151" i="40"/>
  <c r="I150" i="40"/>
  <c r="I149" i="40"/>
  <c r="I148" i="40"/>
  <c r="I147" i="40"/>
  <c r="I146" i="40"/>
  <c r="I145" i="40"/>
  <c r="I144" i="40"/>
  <c r="I143" i="40"/>
  <c r="I142" i="40"/>
  <c r="I141" i="40"/>
  <c r="I140" i="40"/>
  <c r="I139" i="40"/>
  <c r="I137" i="40"/>
  <c r="I136" i="40"/>
  <c r="I135" i="40"/>
  <c r="I134" i="40"/>
  <c r="I133" i="40"/>
  <c r="I132" i="40"/>
  <c r="I131" i="40"/>
  <c r="I130" i="40"/>
  <c r="I129" i="40"/>
  <c r="I128" i="40"/>
  <c r="I127" i="40"/>
  <c r="I126" i="40"/>
  <c r="I125" i="40"/>
  <c r="I124" i="40"/>
  <c r="I123" i="40"/>
  <c r="I122" i="40"/>
  <c r="I121" i="40"/>
  <c r="I120" i="40"/>
  <c r="I119" i="40"/>
  <c r="I118" i="40"/>
  <c r="K116" i="40"/>
  <c r="I115" i="40"/>
  <c r="I114" i="40"/>
  <c r="I113" i="40"/>
  <c r="I112" i="40"/>
  <c r="I111" i="40"/>
  <c r="I110" i="40"/>
  <c r="I109" i="40"/>
  <c r="I108" i="40"/>
  <c r="I107" i="40"/>
  <c r="I106" i="40"/>
  <c r="I105" i="40"/>
  <c r="I104" i="40"/>
  <c r="I103" i="40"/>
  <c r="I102" i="40"/>
  <c r="I101" i="40"/>
  <c r="I100" i="40"/>
  <c r="I99" i="40"/>
  <c r="I98" i="40"/>
  <c r="I97" i="40"/>
  <c r="I96" i="40"/>
  <c r="I95" i="40"/>
  <c r="I94" i="40"/>
  <c r="I93" i="40"/>
  <c r="I92" i="40"/>
  <c r="I90" i="40"/>
  <c r="I89" i="40"/>
  <c r="I88" i="40"/>
  <c r="I87" i="40"/>
  <c r="I86" i="40"/>
  <c r="I85" i="40"/>
  <c r="I84" i="40"/>
  <c r="I83" i="40"/>
  <c r="I82" i="40"/>
  <c r="I81" i="40"/>
  <c r="I80" i="40"/>
  <c r="I79" i="40"/>
  <c r="I78" i="40"/>
  <c r="I77" i="40"/>
  <c r="I76" i="40"/>
  <c r="I74" i="40"/>
  <c r="I73" i="40"/>
  <c r="I72" i="40"/>
  <c r="I71" i="40"/>
  <c r="K71" i="40" s="1"/>
  <c r="P71" i="40" s="1"/>
  <c r="I70" i="40"/>
  <c r="I69" i="40"/>
  <c r="K69" i="40" s="1"/>
  <c r="P69" i="40" s="1"/>
  <c r="I68" i="40"/>
  <c r="I67" i="40"/>
  <c r="I66" i="40"/>
  <c r="K66" i="40" s="1"/>
  <c r="P66" i="40" s="1"/>
  <c r="I65" i="40"/>
  <c r="I64" i="40"/>
  <c r="I63" i="40"/>
  <c r="I62" i="40"/>
  <c r="I61" i="40"/>
  <c r="I60" i="40"/>
  <c r="K60" i="40" s="1"/>
  <c r="P60" i="40" s="1"/>
  <c r="I59" i="40"/>
  <c r="I58" i="40"/>
  <c r="K58" i="40" s="1"/>
  <c r="P58" i="40" s="1"/>
  <c r="I56" i="40"/>
  <c r="I55" i="40"/>
  <c r="I54" i="40"/>
  <c r="I53" i="40"/>
  <c r="I52" i="40"/>
  <c r="I51" i="40"/>
  <c r="I50" i="40"/>
  <c r="I49" i="40"/>
  <c r="I48" i="40"/>
  <c r="I47" i="40"/>
  <c r="I46" i="40"/>
  <c r="I45" i="40"/>
  <c r="I44" i="40"/>
  <c r="I43" i="40"/>
  <c r="I42" i="40"/>
  <c r="I41" i="40"/>
  <c r="I40" i="40"/>
  <c r="I39" i="40"/>
  <c r="I38" i="40"/>
  <c r="I34" i="40"/>
  <c r="I35" i="40"/>
  <c r="I36" i="40"/>
  <c r="I33" i="40"/>
  <c r="I32" i="40"/>
  <c r="I31" i="40"/>
  <c r="I30" i="40"/>
  <c r="I29" i="40"/>
  <c r="K29" i="40" s="1"/>
  <c r="P29" i="40" s="1"/>
  <c r="I28" i="40"/>
  <c r="I27" i="40"/>
  <c r="I26" i="40"/>
  <c r="I25" i="40"/>
  <c r="I24" i="40"/>
  <c r="I23" i="40"/>
  <c r="K23" i="40" s="1"/>
  <c r="P23" i="40" s="1"/>
  <c r="I22" i="40"/>
  <c r="K21" i="40"/>
  <c r="I20" i="40"/>
  <c r="K20" i="40" s="1"/>
  <c r="P20" i="40" s="1"/>
  <c r="I19" i="40"/>
  <c r="I18" i="40"/>
  <c r="K18" i="40" s="1"/>
  <c r="P18" i="40" s="1"/>
  <c r="I17" i="40"/>
  <c r="I16" i="40"/>
  <c r="I15" i="40"/>
  <c r="A209" i="40"/>
  <c r="A210" i="40" s="1"/>
  <c r="A211" i="40" s="1"/>
  <c r="A196" i="40"/>
  <c r="A197" i="40" s="1"/>
  <c r="A198" i="40" s="1"/>
  <c r="A199" i="40" s="1"/>
  <c r="A200" i="40" s="1"/>
  <c r="A201" i="40" s="1"/>
  <c r="A202" i="40" s="1"/>
  <c r="A203" i="40" s="1"/>
  <c r="A204" i="40" s="1"/>
  <c r="A205" i="40" s="1"/>
  <c r="A206" i="40" s="1"/>
  <c r="A192" i="40"/>
  <c r="A193" i="40" s="1"/>
  <c r="A194" i="40" s="1"/>
  <c r="A187" i="40"/>
  <c r="A188" i="40" s="1"/>
  <c r="A160" i="40"/>
  <c r="A161" i="40" s="1"/>
  <c r="A162" i="40" s="1"/>
  <c r="A163" i="40" s="1"/>
  <c r="A164" i="40" s="1"/>
  <c r="A165" i="40" s="1"/>
  <c r="A166" i="40" s="1"/>
  <c r="A167" i="40" s="1"/>
  <c r="A168" i="40" s="1"/>
  <c r="A169" i="40" s="1"/>
  <c r="A170" i="40" s="1"/>
  <c r="A171" i="40" s="1"/>
  <c r="A172" i="40" s="1"/>
  <c r="A173" i="40" s="1"/>
  <c r="A174" i="40" s="1"/>
  <c r="A175" i="40" s="1"/>
  <c r="A176" i="40" s="1"/>
  <c r="A177" i="40" s="1"/>
  <c r="A178" i="40" s="1"/>
  <c r="A179" i="40" s="1"/>
  <c r="A180" i="40" s="1"/>
  <c r="A181" i="40" s="1"/>
  <c r="A182" i="40" s="1"/>
  <c r="A183" i="40" s="1"/>
  <c r="A153" i="40"/>
  <c r="A154" i="40" s="1"/>
  <c r="A155" i="40" s="1"/>
  <c r="A156" i="40" s="1"/>
  <c r="A157" i="40" s="1"/>
  <c r="A149" i="40"/>
  <c r="A141" i="40"/>
  <c r="A142" i="40" s="1"/>
  <c r="A143" i="40" s="1"/>
  <c r="A144" i="40" s="1"/>
  <c r="A145" i="40" s="1"/>
  <c r="A146" i="40" s="1"/>
  <c r="A140" i="40"/>
  <c r="A136" i="40"/>
  <c r="A137" i="40" s="1"/>
  <c r="A126" i="40"/>
  <c r="A127" i="40" s="1"/>
  <c r="A128" i="40" s="1"/>
  <c r="A129" i="40" s="1"/>
  <c r="A130" i="40" s="1"/>
  <c r="A119" i="40"/>
  <c r="A120" i="40" s="1"/>
  <c r="A121" i="40" s="1"/>
  <c r="A122" i="40" s="1"/>
  <c r="A123" i="40" s="1"/>
  <c r="A114" i="40"/>
  <c r="A115" i="40" s="1"/>
  <c r="A116" i="40" s="1"/>
  <c r="A109" i="40"/>
  <c r="A101" i="40"/>
  <c r="A102" i="40" s="1"/>
  <c r="A103" i="40" s="1"/>
  <c r="A104" i="40" s="1"/>
  <c r="A105" i="40" s="1"/>
  <c r="A106" i="40" s="1"/>
  <c r="A107" i="40" s="1"/>
  <c r="A97" i="40"/>
  <c r="A98" i="40" s="1"/>
  <c r="A99" i="40" s="1"/>
  <c r="A94" i="40"/>
  <c r="A88" i="40"/>
  <c r="A89" i="40" s="1"/>
  <c r="A90" i="40" s="1"/>
  <c r="A85" i="40"/>
  <c r="A77" i="40"/>
  <c r="A78" i="40" s="1"/>
  <c r="A79" i="40" s="1"/>
  <c r="A80" i="40" s="1"/>
  <c r="A81" i="40" s="1"/>
  <c r="A82" i="40" s="1"/>
  <c r="A73" i="40"/>
  <c r="A74" i="40" s="1"/>
  <c r="A59" i="40"/>
  <c r="A60" i="40" s="1"/>
  <c r="A61" i="40" s="1"/>
  <c r="A62" i="40" s="1"/>
  <c r="A63" i="40" s="1"/>
  <c r="A64" i="40" s="1"/>
  <c r="A65" i="40" s="1"/>
  <c r="A52" i="40"/>
  <c r="A53" i="40" s="1"/>
  <c r="A54" i="40" s="1"/>
  <c r="A55" i="40" s="1"/>
  <c r="A56" i="40" s="1"/>
  <c r="A39" i="40"/>
  <c r="A40" i="40" s="1"/>
  <c r="A41" i="40" s="1"/>
  <c r="A42" i="40" s="1"/>
  <c r="A43" i="40" s="1"/>
  <c r="A44" i="40" s="1"/>
  <c r="A45" i="40" s="1"/>
  <c r="A46" i="40" s="1"/>
  <c r="A47" i="40" s="1"/>
  <c r="A48" i="40" s="1"/>
  <c r="A49" i="40" s="1"/>
  <c r="A34" i="40"/>
  <c r="A30" i="40"/>
  <c r="A28" i="40"/>
  <c r="A26" i="40"/>
  <c r="A24" i="40"/>
  <c r="A20" i="40"/>
  <c r="A16" i="40"/>
  <c r="Q57" i="40" l="1"/>
  <c r="N16" i="40"/>
  <c r="L21" i="40"/>
  <c r="P21" i="40"/>
  <c r="K24" i="40"/>
  <c r="P24" i="40" s="1"/>
  <c r="N24" i="40"/>
  <c r="N27" i="40"/>
  <c r="K33" i="40"/>
  <c r="P33" i="40" s="1"/>
  <c r="N33" i="40"/>
  <c r="K38" i="40"/>
  <c r="P38" i="40" s="1"/>
  <c r="N38" i="40"/>
  <c r="K42" i="40"/>
  <c r="P42" i="40" s="1"/>
  <c r="N42" i="40"/>
  <c r="Q42" i="40" s="1"/>
  <c r="K46" i="40"/>
  <c r="P46" i="40" s="1"/>
  <c r="N46" i="40"/>
  <c r="K50" i="40"/>
  <c r="P50" i="40" s="1"/>
  <c r="N50" i="40"/>
  <c r="Q50" i="40" s="1"/>
  <c r="L50" i="40"/>
  <c r="K54" i="40"/>
  <c r="P54" i="40" s="1"/>
  <c r="N54" i="40"/>
  <c r="K61" i="40"/>
  <c r="P61" i="40" s="1"/>
  <c r="N61" i="40"/>
  <c r="N64" i="40"/>
  <c r="K72" i="40"/>
  <c r="P72" i="40" s="1"/>
  <c r="N72" i="40"/>
  <c r="K76" i="40"/>
  <c r="P76" i="40" s="1"/>
  <c r="N76" i="40"/>
  <c r="K80" i="40"/>
  <c r="P80" i="40" s="1"/>
  <c r="N80" i="40"/>
  <c r="K84" i="40"/>
  <c r="P84" i="40" s="1"/>
  <c r="L84" i="40"/>
  <c r="N84" i="40"/>
  <c r="Q84" i="40" s="1"/>
  <c r="K88" i="40"/>
  <c r="P88" i="40" s="1"/>
  <c r="N88" i="40"/>
  <c r="K93" i="40"/>
  <c r="P93" i="40" s="1"/>
  <c r="N93" i="40"/>
  <c r="K97" i="40"/>
  <c r="P97" i="40" s="1"/>
  <c r="L97" i="40"/>
  <c r="N97" i="40"/>
  <c r="K101" i="40"/>
  <c r="P101" i="40" s="1"/>
  <c r="N101" i="40"/>
  <c r="K105" i="40"/>
  <c r="P105" i="40" s="1"/>
  <c r="N105" i="40"/>
  <c r="K109" i="40"/>
  <c r="P109" i="40" s="1"/>
  <c r="L109" i="40"/>
  <c r="N109" i="40"/>
  <c r="K113" i="40"/>
  <c r="P113" i="40" s="1"/>
  <c r="N113" i="40"/>
  <c r="K118" i="40"/>
  <c r="P118" i="40" s="1"/>
  <c r="N118" i="40"/>
  <c r="K122" i="40"/>
  <c r="P122" i="40" s="1"/>
  <c r="N122" i="40"/>
  <c r="K126" i="40"/>
  <c r="P126" i="40" s="1"/>
  <c r="N126" i="40"/>
  <c r="K130" i="40"/>
  <c r="P130" i="40" s="1"/>
  <c r="N130" i="40"/>
  <c r="K134" i="40"/>
  <c r="P134" i="40" s="1"/>
  <c r="L134" i="40"/>
  <c r="N134" i="40"/>
  <c r="Q134" i="40" s="1"/>
  <c r="K139" i="40"/>
  <c r="P139" i="40" s="1"/>
  <c r="N139" i="40"/>
  <c r="K143" i="40"/>
  <c r="P143" i="40" s="1"/>
  <c r="N143" i="40"/>
  <c r="K147" i="40"/>
  <c r="P147" i="40" s="1"/>
  <c r="L147" i="40"/>
  <c r="N147" i="40"/>
  <c r="K151" i="40"/>
  <c r="P151" i="40" s="1"/>
  <c r="N151" i="40"/>
  <c r="L151" i="40"/>
  <c r="K155" i="40"/>
  <c r="P155" i="40" s="1"/>
  <c r="N155" i="40"/>
  <c r="K159" i="40"/>
  <c r="P159" i="40" s="1"/>
  <c r="N159" i="40"/>
  <c r="K163" i="40"/>
  <c r="P163" i="40" s="1"/>
  <c r="N163" i="40"/>
  <c r="K167" i="40"/>
  <c r="P167" i="40" s="1"/>
  <c r="N167" i="40"/>
  <c r="K171" i="40"/>
  <c r="P171" i="40" s="1"/>
  <c r="N171" i="40"/>
  <c r="K175" i="40"/>
  <c r="P175" i="40" s="1"/>
  <c r="N175" i="40"/>
  <c r="K179" i="40"/>
  <c r="P179" i="40" s="1"/>
  <c r="K182" i="40"/>
  <c r="P182" i="40" s="1"/>
  <c r="K186" i="40"/>
  <c r="P186" i="40" s="1"/>
  <c r="N186" i="40"/>
  <c r="K191" i="40"/>
  <c r="P191" i="40" s="1"/>
  <c r="N191" i="40"/>
  <c r="K195" i="40"/>
  <c r="P195" i="40" s="1"/>
  <c r="K199" i="40"/>
  <c r="P199" i="40" s="1"/>
  <c r="N199" i="40"/>
  <c r="K203" i="40"/>
  <c r="P203" i="40" s="1"/>
  <c r="K207" i="40"/>
  <c r="P207" i="40" s="1"/>
  <c r="N207" i="40"/>
  <c r="L209" i="40"/>
  <c r="P188" i="40"/>
  <c r="Q188" i="40" s="1"/>
  <c r="K16" i="40"/>
  <c r="P16" i="40" s="1"/>
  <c r="K19" i="40"/>
  <c r="P19" i="40" s="1"/>
  <c r="N19" i="40"/>
  <c r="K22" i="40"/>
  <c r="P22" i="40" s="1"/>
  <c r="N22" i="40"/>
  <c r="Q22" i="40" s="1"/>
  <c r="N25" i="40"/>
  <c r="K27" i="40"/>
  <c r="P27" i="40" s="1"/>
  <c r="K30" i="40"/>
  <c r="P30" i="40" s="1"/>
  <c r="N30" i="40"/>
  <c r="K36" i="40"/>
  <c r="P36" i="40" s="1"/>
  <c r="N36" i="40"/>
  <c r="Q36" i="40" s="1"/>
  <c r="K39" i="40"/>
  <c r="P39" i="40" s="1"/>
  <c r="N39" i="40"/>
  <c r="L39" i="40"/>
  <c r="K43" i="40"/>
  <c r="P43" i="40" s="1"/>
  <c r="N43" i="40"/>
  <c r="K47" i="40"/>
  <c r="P47" i="40" s="1"/>
  <c r="N47" i="40"/>
  <c r="K51" i="40"/>
  <c r="P51" i="40" s="1"/>
  <c r="N51" i="40"/>
  <c r="K55" i="40"/>
  <c r="P55" i="40" s="1"/>
  <c r="N55" i="40"/>
  <c r="L55" i="40"/>
  <c r="K59" i="40"/>
  <c r="P59" i="40" s="1"/>
  <c r="N59" i="40"/>
  <c r="N62" i="40"/>
  <c r="K64" i="40"/>
  <c r="P64" i="40" s="1"/>
  <c r="L67" i="40"/>
  <c r="N67" i="40"/>
  <c r="K70" i="40"/>
  <c r="P70" i="40" s="1"/>
  <c r="N70" i="40"/>
  <c r="N73" i="40"/>
  <c r="K77" i="40"/>
  <c r="P77" i="40" s="1"/>
  <c r="N77" i="40"/>
  <c r="L77" i="40"/>
  <c r="K81" i="40"/>
  <c r="P81" i="40" s="1"/>
  <c r="N81" i="40"/>
  <c r="K85" i="40"/>
  <c r="P85" i="40" s="1"/>
  <c r="N85" i="40"/>
  <c r="K89" i="40"/>
  <c r="P89" i="40" s="1"/>
  <c r="N89" i="40"/>
  <c r="Q89" i="40" s="1"/>
  <c r="K94" i="40"/>
  <c r="P94" i="40" s="1"/>
  <c r="N94" i="40"/>
  <c r="K98" i="40"/>
  <c r="P98" i="40" s="1"/>
  <c r="N98" i="40"/>
  <c r="K102" i="40"/>
  <c r="P102" i="40" s="1"/>
  <c r="N102" i="40"/>
  <c r="Q102" i="40" s="1"/>
  <c r="L102" i="40"/>
  <c r="K106" i="40"/>
  <c r="P106" i="40" s="1"/>
  <c r="N106" i="40"/>
  <c r="K110" i="40"/>
  <c r="P110" i="40" s="1"/>
  <c r="L110" i="40"/>
  <c r="N110" i="40"/>
  <c r="K114" i="40"/>
  <c r="P114" i="40" s="1"/>
  <c r="N114" i="40"/>
  <c r="K119" i="40"/>
  <c r="P119" i="40" s="1"/>
  <c r="N119" i="40"/>
  <c r="K123" i="40"/>
  <c r="P123" i="40" s="1"/>
  <c r="N123" i="40"/>
  <c r="K127" i="40"/>
  <c r="P127" i="40" s="1"/>
  <c r="L127" i="40"/>
  <c r="N127" i="40"/>
  <c r="K131" i="40"/>
  <c r="P131" i="40" s="1"/>
  <c r="N131" i="40"/>
  <c r="K135" i="40"/>
  <c r="P135" i="40" s="1"/>
  <c r="L135" i="40"/>
  <c r="N135" i="40"/>
  <c r="K140" i="40"/>
  <c r="P140" i="40" s="1"/>
  <c r="N140" i="40"/>
  <c r="L140" i="40"/>
  <c r="K144" i="40"/>
  <c r="P144" i="40" s="1"/>
  <c r="N144" i="40"/>
  <c r="K148" i="40"/>
  <c r="P148" i="40" s="1"/>
  <c r="N148" i="40"/>
  <c r="K152" i="40"/>
  <c r="P152" i="40" s="1"/>
  <c r="N152" i="40"/>
  <c r="K156" i="40"/>
  <c r="P156" i="40" s="1"/>
  <c r="N156" i="40"/>
  <c r="K160" i="40"/>
  <c r="P160" i="40" s="1"/>
  <c r="L160" i="40"/>
  <c r="N160" i="40"/>
  <c r="K164" i="40"/>
  <c r="P164" i="40" s="1"/>
  <c r="N164" i="40"/>
  <c r="K168" i="40"/>
  <c r="P168" i="40" s="1"/>
  <c r="N168" i="40"/>
  <c r="K172" i="40"/>
  <c r="P172" i="40" s="1"/>
  <c r="L172" i="40"/>
  <c r="N172" i="40"/>
  <c r="Q172" i="40" s="1"/>
  <c r="K176" i="40"/>
  <c r="P176" i="40" s="1"/>
  <c r="N176" i="40"/>
  <c r="L176" i="40"/>
  <c r="K180" i="40"/>
  <c r="P180" i="40" s="1"/>
  <c r="N180" i="40"/>
  <c r="K183" i="40"/>
  <c r="P183" i="40" s="1"/>
  <c r="N183" i="40"/>
  <c r="Q183" i="40" s="1"/>
  <c r="K187" i="40"/>
  <c r="P187" i="40" s="1"/>
  <c r="K192" i="40"/>
  <c r="P192" i="40" s="1"/>
  <c r="K196" i="40"/>
  <c r="P196" i="40" s="1"/>
  <c r="N196" i="40"/>
  <c r="K200" i="40"/>
  <c r="P200" i="40" s="1"/>
  <c r="Q200" i="40" s="1"/>
  <c r="K204" i="40"/>
  <c r="P204" i="40" s="1"/>
  <c r="N204" i="40"/>
  <c r="K208" i="40"/>
  <c r="P208" i="40" s="1"/>
  <c r="L211" i="40"/>
  <c r="N210" i="40"/>
  <c r="Q210" i="40" s="1"/>
  <c r="Q207" i="40"/>
  <c r="N203" i="40"/>
  <c r="L199" i="40"/>
  <c r="Q191" i="40"/>
  <c r="N179" i="40"/>
  <c r="K17" i="40"/>
  <c r="P17" i="40" s="1"/>
  <c r="N17" i="40"/>
  <c r="N20" i="40"/>
  <c r="Q20" i="40" s="1"/>
  <c r="L20" i="40"/>
  <c r="N23" i="40"/>
  <c r="L23" i="40"/>
  <c r="K25" i="40"/>
  <c r="P25" i="40" s="1"/>
  <c r="K28" i="40"/>
  <c r="P28" i="40" s="1"/>
  <c r="N28" i="40"/>
  <c r="K31" i="40"/>
  <c r="P31" i="40" s="1"/>
  <c r="N31" i="40"/>
  <c r="K35" i="40"/>
  <c r="P35" i="40" s="1"/>
  <c r="N35" i="40"/>
  <c r="K40" i="40"/>
  <c r="P40" i="40" s="1"/>
  <c r="N40" i="40"/>
  <c r="Q40" i="40" s="1"/>
  <c r="L40" i="40"/>
  <c r="K44" i="40"/>
  <c r="P44" i="40" s="1"/>
  <c r="N44" i="40"/>
  <c r="K48" i="40"/>
  <c r="P48" i="40" s="1"/>
  <c r="N48" i="40"/>
  <c r="Q48" i="40" s="1"/>
  <c r="K52" i="40"/>
  <c r="P52" i="40" s="1"/>
  <c r="N52" i="40"/>
  <c r="K56" i="40"/>
  <c r="P56" i="40" s="1"/>
  <c r="N56" i="40"/>
  <c r="Q56" i="40" s="1"/>
  <c r="L60" i="40"/>
  <c r="N60" i="40"/>
  <c r="Q60" i="40" s="1"/>
  <c r="K62" i="40"/>
  <c r="P62" i="40" s="1"/>
  <c r="K65" i="40"/>
  <c r="P65" i="40" s="1"/>
  <c r="N65" i="40"/>
  <c r="K68" i="40"/>
  <c r="P68" i="40" s="1"/>
  <c r="N68" i="40"/>
  <c r="N71" i="40"/>
  <c r="L71" i="40"/>
  <c r="K73" i="40"/>
  <c r="P73" i="40" s="1"/>
  <c r="K78" i="40"/>
  <c r="P78" i="40" s="1"/>
  <c r="N78" i="40"/>
  <c r="K82" i="40"/>
  <c r="P82" i="40" s="1"/>
  <c r="N82" i="40"/>
  <c r="Q82" i="40" s="1"/>
  <c r="K86" i="40"/>
  <c r="P86" i="40" s="1"/>
  <c r="N86" i="40"/>
  <c r="K90" i="40"/>
  <c r="P90" i="40" s="1"/>
  <c r="N90" i="40"/>
  <c r="Q90" i="40" s="1"/>
  <c r="K95" i="40"/>
  <c r="P95" i="40" s="1"/>
  <c r="N95" i="40"/>
  <c r="L95" i="40"/>
  <c r="K99" i="40"/>
  <c r="P99" i="40" s="1"/>
  <c r="N99" i="40"/>
  <c r="K103" i="40"/>
  <c r="P103" i="40" s="1"/>
  <c r="N103" i="40"/>
  <c r="K107" i="40"/>
  <c r="P107" i="40" s="1"/>
  <c r="N107" i="40"/>
  <c r="L107" i="40"/>
  <c r="K111" i="40"/>
  <c r="P111" i="40" s="1"/>
  <c r="N111" i="40"/>
  <c r="K115" i="40"/>
  <c r="P115" i="40" s="1"/>
  <c r="L115" i="40"/>
  <c r="N115" i="40"/>
  <c r="K120" i="40"/>
  <c r="P120" i="40" s="1"/>
  <c r="N120" i="40"/>
  <c r="K124" i="40"/>
  <c r="P124" i="40" s="1"/>
  <c r="N124" i="40"/>
  <c r="Q124" i="40" s="1"/>
  <c r="K128" i="40"/>
  <c r="P128" i="40" s="1"/>
  <c r="N128" i="40"/>
  <c r="L128" i="40"/>
  <c r="K132" i="40"/>
  <c r="P132" i="40" s="1"/>
  <c r="N132" i="40"/>
  <c r="K136" i="40"/>
  <c r="P136" i="40" s="1"/>
  <c r="N136" i="40"/>
  <c r="K141" i="40"/>
  <c r="P141" i="40" s="1"/>
  <c r="N141" i="40"/>
  <c r="L141" i="40"/>
  <c r="K145" i="40"/>
  <c r="P145" i="40" s="1"/>
  <c r="N145" i="40"/>
  <c r="K149" i="40"/>
  <c r="P149" i="40" s="1"/>
  <c r="L149" i="40"/>
  <c r="N149" i="40"/>
  <c r="K153" i="40"/>
  <c r="P153" i="40" s="1"/>
  <c r="N153" i="40"/>
  <c r="K157" i="40"/>
  <c r="P157" i="40" s="1"/>
  <c r="N157" i="40"/>
  <c r="K161" i="40"/>
  <c r="P161" i="40" s="1"/>
  <c r="N161" i="40"/>
  <c r="K165" i="40"/>
  <c r="P165" i="40" s="1"/>
  <c r="N165" i="40"/>
  <c r="K169" i="40"/>
  <c r="P169" i="40" s="1"/>
  <c r="N169" i="40"/>
  <c r="K173" i="40"/>
  <c r="P173" i="40" s="1"/>
  <c r="N173" i="40"/>
  <c r="L173" i="40"/>
  <c r="K177" i="40"/>
  <c r="P177" i="40" s="1"/>
  <c r="N177" i="40"/>
  <c r="L189" i="40"/>
  <c r="P189" i="40"/>
  <c r="Q189" i="40" s="1"/>
  <c r="K193" i="40"/>
  <c r="P193" i="40" s="1"/>
  <c r="N193" i="40"/>
  <c r="K197" i="40"/>
  <c r="P197" i="40" s="1"/>
  <c r="L197" i="40"/>
  <c r="K201" i="40"/>
  <c r="P201" i="40" s="1"/>
  <c r="N201" i="40"/>
  <c r="K205" i="40"/>
  <c r="P205" i="40" s="1"/>
  <c r="Q205" i="40" s="1"/>
  <c r="L205" i="40"/>
  <c r="N209" i="40"/>
  <c r="Q209" i="40" s="1"/>
  <c r="N208" i="40"/>
  <c r="Q208" i="40" s="1"/>
  <c r="L201" i="40"/>
  <c r="N192" i="40"/>
  <c r="Q192" i="40" s="1"/>
  <c r="N187" i="40"/>
  <c r="N184" i="40"/>
  <c r="Q184" i="40" s="1"/>
  <c r="N182" i="40"/>
  <c r="Q182" i="40" s="1"/>
  <c r="K15" i="40"/>
  <c r="P15" i="40" s="1"/>
  <c r="N15" i="40"/>
  <c r="L18" i="40"/>
  <c r="N18" i="40"/>
  <c r="Q18" i="40" s="1"/>
  <c r="K26" i="40"/>
  <c r="P26" i="40" s="1"/>
  <c r="N26" i="40"/>
  <c r="N29" i="40"/>
  <c r="L29" i="40"/>
  <c r="K32" i="40"/>
  <c r="P32" i="40" s="1"/>
  <c r="N32" i="40"/>
  <c r="K34" i="40"/>
  <c r="P34" i="40" s="1"/>
  <c r="N34" i="40"/>
  <c r="Q34" i="40" s="1"/>
  <c r="K41" i="40"/>
  <c r="P41" i="40" s="1"/>
  <c r="N41" i="40"/>
  <c r="K45" i="40"/>
  <c r="P45" i="40" s="1"/>
  <c r="N45" i="40"/>
  <c r="K49" i="40"/>
  <c r="P49" i="40" s="1"/>
  <c r="N49" i="40"/>
  <c r="K53" i="40"/>
  <c r="P53" i="40" s="1"/>
  <c r="N53" i="40"/>
  <c r="N58" i="40"/>
  <c r="Q58" i="40" s="1"/>
  <c r="L58" i="40"/>
  <c r="K63" i="40"/>
  <c r="P63" i="40" s="1"/>
  <c r="N63" i="40"/>
  <c r="N66" i="40"/>
  <c r="Q66" i="40" s="1"/>
  <c r="L66" i="40"/>
  <c r="N69" i="40"/>
  <c r="L69" i="40"/>
  <c r="K74" i="40"/>
  <c r="P74" i="40" s="1"/>
  <c r="N74" i="40"/>
  <c r="Q74" i="40" s="1"/>
  <c r="K79" i="40"/>
  <c r="P79" i="40" s="1"/>
  <c r="N79" i="40"/>
  <c r="K83" i="40"/>
  <c r="P83" i="40" s="1"/>
  <c r="L83" i="40"/>
  <c r="N83" i="40"/>
  <c r="K87" i="40"/>
  <c r="P87" i="40" s="1"/>
  <c r="N87" i="40"/>
  <c r="L87" i="40"/>
  <c r="K92" i="40"/>
  <c r="P92" i="40" s="1"/>
  <c r="N92" i="40"/>
  <c r="K96" i="40"/>
  <c r="P96" i="40" s="1"/>
  <c r="N96" i="40"/>
  <c r="K100" i="40"/>
  <c r="P100" i="40" s="1"/>
  <c r="L100" i="40"/>
  <c r="N100" i="40"/>
  <c r="Q100" i="40" s="1"/>
  <c r="K104" i="40"/>
  <c r="P104" i="40" s="1"/>
  <c r="N104" i="40"/>
  <c r="K108" i="40"/>
  <c r="P108" i="40" s="1"/>
  <c r="L108" i="40"/>
  <c r="N108" i="40"/>
  <c r="K112" i="40"/>
  <c r="P112" i="40" s="1"/>
  <c r="N112" i="40"/>
  <c r="L116" i="40"/>
  <c r="P116" i="40"/>
  <c r="K121" i="40"/>
  <c r="P121" i="40" s="1"/>
  <c r="N121" i="40"/>
  <c r="K125" i="40"/>
  <c r="P125" i="40" s="1"/>
  <c r="N125" i="40"/>
  <c r="K129" i="40"/>
  <c r="P129" i="40" s="1"/>
  <c r="N129" i="40"/>
  <c r="L129" i="40"/>
  <c r="K133" i="40"/>
  <c r="P133" i="40" s="1"/>
  <c r="N133" i="40"/>
  <c r="L133" i="40"/>
  <c r="K137" i="40"/>
  <c r="P137" i="40" s="1"/>
  <c r="N137" i="40"/>
  <c r="K142" i="40"/>
  <c r="P142" i="40" s="1"/>
  <c r="N142" i="40"/>
  <c r="K146" i="40"/>
  <c r="P146" i="40" s="1"/>
  <c r="N146" i="40"/>
  <c r="K150" i="40"/>
  <c r="P150" i="40" s="1"/>
  <c r="N150" i="40"/>
  <c r="Q150" i="40" s="1"/>
  <c r="K154" i="40"/>
  <c r="P154" i="40" s="1"/>
  <c r="N154" i="40"/>
  <c r="Q154" i="40" s="1"/>
  <c r="K158" i="40"/>
  <c r="P158" i="40" s="1"/>
  <c r="N158" i="40"/>
  <c r="K162" i="40"/>
  <c r="P162" i="40" s="1"/>
  <c r="N162" i="40"/>
  <c r="Q162" i="40" s="1"/>
  <c r="L162" i="40"/>
  <c r="K166" i="40"/>
  <c r="P166" i="40" s="1"/>
  <c r="N166" i="40"/>
  <c r="K170" i="40"/>
  <c r="P170" i="40" s="1"/>
  <c r="L170" i="40"/>
  <c r="N170" i="40"/>
  <c r="Q170" i="40" s="1"/>
  <c r="K174" i="40"/>
  <c r="P174" i="40" s="1"/>
  <c r="N174" i="40"/>
  <c r="K178" i="40"/>
  <c r="P178" i="40" s="1"/>
  <c r="L178" i="40"/>
  <c r="N178" i="40"/>
  <c r="K181" i="40"/>
  <c r="P181" i="40" s="1"/>
  <c r="Q181" i="40" s="1"/>
  <c r="K190" i="40"/>
  <c r="P190" i="40" s="1"/>
  <c r="Q190" i="40" s="1"/>
  <c r="K194" i="40"/>
  <c r="P194" i="40" s="1"/>
  <c r="N194" i="40"/>
  <c r="K198" i="40"/>
  <c r="P198" i="40" s="1"/>
  <c r="Q198" i="40" s="1"/>
  <c r="K202" i="40"/>
  <c r="P202" i="40" s="1"/>
  <c r="N202" i="40"/>
  <c r="K206" i="40"/>
  <c r="P206" i="40" s="1"/>
  <c r="Q206" i="40" s="1"/>
  <c r="N211" i="40"/>
  <c r="Q211" i="40" s="1"/>
  <c r="L210" i="40"/>
  <c r="L207" i="40"/>
  <c r="L204" i="40"/>
  <c r="Q199" i="40"/>
  <c r="N197" i="40"/>
  <c r="Q197" i="40" s="1"/>
  <c r="N195" i="40"/>
  <c r="Q195" i="40" s="1"/>
  <c r="L191" i="40"/>
  <c r="L186" i="40"/>
  <c r="L185" i="40"/>
  <c r="L183" i="40"/>
  <c r="L180" i="40"/>
  <c r="Q201" i="40"/>
  <c r="Q193" i="40"/>
  <c r="Q185" i="40"/>
  <c r="Q177" i="40"/>
  <c r="Q157" i="40"/>
  <c r="Q149" i="40"/>
  <c r="Q203" i="40"/>
  <c r="Q187" i="40"/>
  <c r="Q179" i="40"/>
  <c r="Q159" i="40"/>
  <c r="Q151" i="40"/>
  <c r="Q145" i="40"/>
  <c r="Q141" i="40"/>
  <c r="Q138" i="40"/>
  <c r="Q137" i="40"/>
  <c r="Q133" i="40"/>
  <c r="Q129" i="40"/>
  <c r="Q125" i="40"/>
  <c r="Q121" i="40"/>
  <c r="Q117" i="40"/>
  <c r="Q113" i="40"/>
  <c r="Q109" i="40"/>
  <c r="Q173" i="40"/>
  <c r="Q167" i="40"/>
  <c r="Q161" i="40"/>
  <c r="Q153" i="40"/>
  <c r="Q175" i="40"/>
  <c r="Q163" i="40"/>
  <c r="Q155" i="40"/>
  <c r="Q147" i="40"/>
  <c r="Q143" i="40"/>
  <c r="Q139" i="40"/>
  <c r="Q135" i="40"/>
  <c r="Q131" i="40"/>
  <c r="Q127" i="40"/>
  <c r="Q123" i="40"/>
  <c r="Q119" i="40"/>
  <c r="Q116" i="40"/>
  <c r="Q111" i="40"/>
  <c r="Q83" i="40"/>
  <c r="Q67" i="40"/>
  <c r="Q59" i="40"/>
  <c r="Q51" i="40"/>
  <c r="Q43" i="40"/>
  <c r="Q35" i="40"/>
  <c r="Q27" i="40"/>
  <c r="Q107" i="40"/>
  <c r="Q93" i="40"/>
  <c r="Q85" i="40"/>
  <c r="Q77" i="40"/>
  <c r="Q69" i="40"/>
  <c r="Q61" i="40"/>
  <c r="Q53" i="40"/>
  <c r="Q45" i="40"/>
  <c r="Q29" i="40"/>
  <c r="Q23" i="40"/>
  <c r="Q95" i="40"/>
  <c r="Q87" i="40"/>
  <c r="Q79" i="40"/>
  <c r="Q71" i="40"/>
  <c r="Q63" i="40"/>
  <c r="Q55" i="40"/>
  <c r="Q47" i="40"/>
  <c r="Q39" i="40"/>
  <c r="Q31" i="40"/>
  <c r="Q19" i="40"/>
  <c r="Q105" i="40"/>
  <c r="Q97" i="40"/>
  <c r="Q81" i="40"/>
  <c r="Q73" i="40"/>
  <c r="Q65" i="40"/>
  <c r="Q49" i="40"/>
  <c r="Q41" i="40"/>
  <c r="Q33" i="40"/>
  <c r="Q25" i="40"/>
  <c r="Q21" i="40"/>
  <c r="Q17" i="40"/>
  <c r="Q15" i="40"/>
  <c r="Q165" i="40"/>
  <c r="Q169" i="40"/>
  <c r="Q178" i="40" l="1"/>
  <c r="Q166" i="40"/>
  <c r="L146" i="40"/>
  <c r="L45" i="40"/>
  <c r="Q26" i="40"/>
  <c r="L161" i="40"/>
  <c r="L157" i="40"/>
  <c r="L124" i="40"/>
  <c r="L90" i="40"/>
  <c r="L56" i="40"/>
  <c r="Q28" i="40"/>
  <c r="Q168" i="40"/>
  <c r="Q160" i="40"/>
  <c r="Q144" i="40"/>
  <c r="L119" i="40"/>
  <c r="Q110" i="40"/>
  <c r="L94" i="40"/>
  <c r="L85" i="40"/>
  <c r="L30" i="40"/>
  <c r="L22" i="40"/>
  <c r="L179" i="40"/>
  <c r="L143" i="40"/>
  <c r="L130" i="40"/>
  <c r="L118" i="40"/>
  <c r="L46" i="40"/>
  <c r="L113" i="40"/>
  <c r="Q101" i="40"/>
  <c r="Q146" i="40"/>
  <c r="Q104" i="40"/>
  <c r="L92" i="40"/>
  <c r="L63" i="40"/>
  <c r="L32" i="40"/>
  <c r="L145" i="40"/>
  <c r="Q132" i="40"/>
  <c r="Q99" i="40"/>
  <c r="Q78" i="40"/>
  <c r="L65" i="40"/>
  <c r="Q44" i="40"/>
  <c r="L17" i="40"/>
  <c r="Q176" i="40"/>
  <c r="L156" i="40"/>
  <c r="L152" i="40"/>
  <c r="L144" i="40"/>
  <c r="L106" i="40"/>
  <c r="Q94" i="40"/>
  <c r="L19" i="40"/>
  <c r="L175" i="40"/>
  <c r="L167" i="40"/>
  <c r="L163" i="40"/>
  <c r="Q130" i="40"/>
  <c r="L126" i="40"/>
  <c r="Q118" i="40"/>
  <c r="L101" i="40"/>
  <c r="L80" i="40"/>
  <c r="L76" i="40"/>
  <c r="Q46" i="40"/>
  <c r="L33" i="40"/>
  <c r="Q62" i="40"/>
  <c r="L25" i="40"/>
  <c r="L16" i="40"/>
  <c r="L202" i="40"/>
  <c r="Q202" i="40"/>
  <c r="Q194" i="40"/>
  <c r="L181" i="40"/>
  <c r="L166" i="40"/>
  <c r="L154" i="40"/>
  <c r="L150" i="40"/>
  <c r="L137" i="40"/>
  <c r="L121" i="40"/>
  <c r="Q108" i="40"/>
  <c r="L104" i="40"/>
  <c r="Q92" i="40"/>
  <c r="L74" i="40"/>
  <c r="L53" i="40"/>
  <c r="L49" i="40"/>
  <c r="L34" i="40"/>
  <c r="Q32" i="40"/>
  <c r="L26" i="40"/>
  <c r="L177" i="40"/>
  <c r="L165" i="40"/>
  <c r="L132" i="40"/>
  <c r="Q128" i="40"/>
  <c r="Q115" i="40"/>
  <c r="L111" i="40"/>
  <c r="L99" i="40"/>
  <c r="L82" i="40"/>
  <c r="L78" i="40"/>
  <c r="L48" i="40"/>
  <c r="L44" i="40"/>
  <c r="L31" i="40"/>
  <c r="L28" i="40"/>
  <c r="L208" i="40"/>
  <c r="L200" i="40"/>
  <c r="L192" i="40"/>
  <c r="Q156" i="40"/>
  <c r="Q140" i="40"/>
  <c r="L123" i="40"/>
  <c r="Q106" i="40"/>
  <c r="L89" i="40"/>
  <c r="L73" i="40"/>
  <c r="L62" i="40"/>
  <c r="L51" i="40"/>
  <c r="L36" i="40"/>
  <c r="L203" i="40"/>
  <c r="L195" i="40"/>
  <c r="Q186" i="40"/>
  <c r="Q80" i="40"/>
  <c r="L64" i="40"/>
  <c r="L27" i="40"/>
  <c r="L193" i="40"/>
  <c r="L174" i="40"/>
  <c r="Q158" i="40"/>
  <c r="Q142" i="40"/>
  <c r="L125" i="40"/>
  <c r="L112" i="40"/>
  <c r="L96" i="40"/>
  <c r="L79" i="40"/>
  <c r="L153" i="40"/>
  <c r="L136" i="40"/>
  <c r="L120" i="40"/>
  <c r="L103" i="40"/>
  <c r="Q86" i="40"/>
  <c r="Q68" i="40"/>
  <c r="Q52" i="40"/>
  <c r="L196" i="40"/>
  <c r="L164" i="40"/>
  <c r="L148" i="40"/>
  <c r="Q114" i="40"/>
  <c r="L98" i="40"/>
  <c r="Q70" i="40"/>
  <c r="L171" i="40"/>
  <c r="Q122" i="40"/>
  <c r="L88" i="40"/>
  <c r="L72" i="40"/>
  <c r="Q64" i="40"/>
  <c r="Q54" i="40"/>
  <c r="Q38" i="40"/>
  <c r="Q24" i="40"/>
  <c r="L194" i="40"/>
  <c r="L206" i="40"/>
  <c r="L198" i="40"/>
  <c r="L190" i="40"/>
  <c r="Q174" i="40"/>
  <c r="L158" i="40"/>
  <c r="L142" i="40"/>
  <c r="Q112" i="40"/>
  <c r="Q96" i="40"/>
  <c r="L41" i="40"/>
  <c r="L15" i="40"/>
  <c r="L169" i="40"/>
  <c r="Q136" i="40"/>
  <c r="Q120" i="40"/>
  <c r="Q103" i="40"/>
  <c r="L86" i="40"/>
  <c r="L68" i="40"/>
  <c r="L52" i="40"/>
  <c r="L35" i="40"/>
  <c r="Q204" i="40"/>
  <c r="Q196" i="40"/>
  <c r="L187" i="40"/>
  <c r="Q180" i="40"/>
  <c r="L168" i="40"/>
  <c r="Q164" i="40"/>
  <c r="Q152" i="40"/>
  <c r="Q148" i="40"/>
  <c r="L131" i="40"/>
  <c r="L114" i="40"/>
  <c r="Q98" i="40"/>
  <c r="L81" i="40"/>
  <c r="L70" i="40"/>
  <c r="L59" i="40"/>
  <c r="L47" i="40"/>
  <c r="L43" i="40"/>
  <c r="Q30" i="40"/>
  <c r="L182" i="40"/>
  <c r="Q171" i="40"/>
  <c r="L159" i="40"/>
  <c r="L155" i="40"/>
  <c r="L139" i="40"/>
  <c r="Q126" i="40"/>
  <c r="L122" i="40"/>
  <c r="L105" i="40"/>
  <c r="L93" i="40"/>
  <c r="Q88" i="40"/>
  <c r="Q76" i="40"/>
  <c r="Q72" i="40"/>
  <c r="L61" i="40"/>
  <c r="L54" i="40"/>
  <c r="L42" i="40"/>
  <c r="L38" i="40"/>
  <c r="L24" i="40"/>
  <c r="Q16" i="40"/>
  <c r="C13" i="70" l="1"/>
  <c r="O70" i="70"/>
  <c r="N70" i="70"/>
  <c r="M70" i="70"/>
  <c r="L70" i="70"/>
  <c r="K70" i="70"/>
  <c r="O69" i="70"/>
  <c r="N69" i="70"/>
  <c r="L69" i="70"/>
  <c r="O68" i="70"/>
  <c r="N68" i="70"/>
  <c r="L68" i="70"/>
  <c r="O67" i="70"/>
  <c r="N67" i="70"/>
  <c r="L67" i="70"/>
  <c r="O66" i="70"/>
  <c r="N66" i="70"/>
  <c r="M66" i="70"/>
  <c r="L66" i="70"/>
  <c r="K66" i="70"/>
  <c r="O65" i="70"/>
  <c r="N65" i="70"/>
  <c r="M65" i="70"/>
  <c r="L65" i="70"/>
  <c r="K65" i="70"/>
  <c r="O64" i="70"/>
  <c r="N64" i="70"/>
  <c r="M64" i="70"/>
  <c r="L64" i="70"/>
  <c r="K64" i="70"/>
  <c r="O63" i="70"/>
  <c r="N63" i="70"/>
  <c r="M63" i="70"/>
  <c r="L63" i="70"/>
  <c r="K63" i="70"/>
  <c r="O62" i="70"/>
  <c r="N62" i="70"/>
  <c r="M62" i="70"/>
  <c r="L62" i="70"/>
  <c r="K62" i="70"/>
  <c r="O61" i="70"/>
  <c r="N61" i="70"/>
  <c r="M61" i="70"/>
  <c r="L61" i="70"/>
  <c r="K61" i="70"/>
  <c r="O60" i="70"/>
  <c r="N60" i="70"/>
  <c r="M60" i="70"/>
  <c r="L60" i="70"/>
  <c r="K60" i="70"/>
  <c r="O59" i="70"/>
  <c r="N59" i="70"/>
  <c r="M59" i="70"/>
  <c r="L59" i="70"/>
  <c r="K59" i="70"/>
  <c r="O58" i="70"/>
  <c r="N58" i="70"/>
  <c r="M58" i="70"/>
  <c r="L58" i="70"/>
  <c r="K58" i="70"/>
  <c r="O57" i="70"/>
  <c r="N57" i="70"/>
  <c r="M57" i="70"/>
  <c r="L57" i="70"/>
  <c r="K57" i="70"/>
  <c r="O56" i="70"/>
  <c r="N56" i="70"/>
  <c r="M56" i="70"/>
  <c r="L56" i="70"/>
  <c r="K56" i="70"/>
  <c r="O55" i="70"/>
  <c r="N55" i="70"/>
  <c r="M55" i="70"/>
  <c r="L55" i="70"/>
  <c r="K55" i="70"/>
  <c r="O54" i="70"/>
  <c r="N54" i="70"/>
  <c r="M54" i="70"/>
  <c r="L54" i="70"/>
  <c r="K54" i="70"/>
  <c r="O53" i="70"/>
  <c r="N53" i="70"/>
  <c r="M53" i="70"/>
  <c r="L53" i="70"/>
  <c r="K53" i="70"/>
  <c r="O52" i="70"/>
  <c r="N52" i="70"/>
  <c r="M52" i="70"/>
  <c r="L52" i="70"/>
  <c r="K52" i="70"/>
  <c r="O51" i="70"/>
  <c r="N51" i="70"/>
  <c r="M51" i="70"/>
  <c r="L51" i="70"/>
  <c r="K51" i="70"/>
  <c r="O50" i="70"/>
  <c r="N50" i="70"/>
  <c r="M50" i="70"/>
  <c r="L50" i="70"/>
  <c r="K50" i="70"/>
  <c r="O49" i="70"/>
  <c r="N49" i="70"/>
  <c r="M49" i="70"/>
  <c r="L49" i="70"/>
  <c r="K49" i="70"/>
  <c r="O48" i="70"/>
  <c r="N48" i="70"/>
  <c r="L48" i="70"/>
  <c r="O47" i="70"/>
  <c r="N47" i="70"/>
  <c r="L47" i="70"/>
  <c r="O46" i="70"/>
  <c r="N46" i="70"/>
  <c r="L46" i="70"/>
  <c r="O45" i="70"/>
  <c r="N45" i="70"/>
  <c r="L45" i="70"/>
  <c r="O44" i="70"/>
  <c r="N44" i="70"/>
  <c r="L44" i="70"/>
  <c r="O43" i="70"/>
  <c r="N43" i="70"/>
  <c r="L43" i="70"/>
  <c r="O42" i="70"/>
  <c r="N42" i="70"/>
  <c r="L42" i="70"/>
  <c r="O41" i="70"/>
  <c r="N41" i="70"/>
  <c r="L41" i="70"/>
  <c r="O40" i="70"/>
  <c r="N40" i="70"/>
  <c r="M40" i="70"/>
  <c r="L40" i="70"/>
  <c r="K40" i="70"/>
  <c r="O39" i="70"/>
  <c r="N39" i="70"/>
  <c r="M39" i="70"/>
  <c r="L39" i="70"/>
  <c r="K39" i="70"/>
  <c r="O38" i="70"/>
  <c r="N38" i="70"/>
  <c r="M38" i="70"/>
  <c r="L38" i="70"/>
  <c r="K38" i="70"/>
  <c r="O37" i="70"/>
  <c r="N37" i="70"/>
  <c r="M37" i="70"/>
  <c r="L37" i="70"/>
  <c r="K37" i="70"/>
  <c r="O36" i="70"/>
  <c r="N36" i="70"/>
  <c r="M36" i="70"/>
  <c r="L36" i="70"/>
  <c r="K36" i="70"/>
  <c r="O35" i="70"/>
  <c r="N35" i="70"/>
  <c r="M35" i="70"/>
  <c r="L35" i="70"/>
  <c r="K35" i="70"/>
  <c r="O34" i="70"/>
  <c r="N34" i="70"/>
  <c r="M34" i="70"/>
  <c r="L34" i="70"/>
  <c r="K34" i="70"/>
  <c r="O33" i="70"/>
  <c r="N33" i="70"/>
  <c r="M33" i="70"/>
  <c r="L33" i="70"/>
  <c r="K33" i="70"/>
  <c r="O32" i="70"/>
  <c r="N32" i="70"/>
  <c r="M32" i="70"/>
  <c r="L32" i="70"/>
  <c r="K32" i="70"/>
  <c r="O31" i="70"/>
  <c r="N31" i="70"/>
  <c r="M31" i="70"/>
  <c r="L31" i="70"/>
  <c r="K31" i="70"/>
  <c r="O30" i="70"/>
  <c r="N30" i="70"/>
  <c r="M30" i="70"/>
  <c r="L30" i="70"/>
  <c r="K30" i="70"/>
  <c r="O29" i="70"/>
  <c r="N29" i="70"/>
  <c r="M29" i="70"/>
  <c r="L29" i="70"/>
  <c r="K29" i="70"/>
  <c r="O28" i="70"/>
  <c r="N28" i="70"/>
  <c r="M28" i="70"/>
  <c r="L28" i="70"/>
  <c r="K28" i="70"/>
  <c r="O27" i="70"/>
  <c r="N27" i="70"/>
  <c r="L27" i="70"/>
  <c r="O26" i="70"/>
  <c r="N26" i="70"/>
  <c r="L26" i="70"/>
  <c r="O25" i="70"/>
  <c r="N25" i="70"/>
  <c r="L25" i="70"/>
  <c r="O24" i="70"/>
  <c r="N24" i="70"/>
  <c r="L24" i="70"/>
  <c r="O23" i="70"/>
  <c r="N23" i="70"/>
  <c r="L23" i="70"/>
  <c r="O22" i="70"/>
  <c r="N22" i="70"/>
  <c r="L22" i="70"/>
  <c r="O21" i="70"/>
  <c r="N21" i="70"/>
  <c r="L21" i="70"/>
  <c r="O20" i="70"/>
  <c r="N20" i="70"/>
  <c r="L20" i="70"/>
  <c r="O19" i="70"/>
  <c r="N19" i="70"/>
  <c r="L19" i="70"/>
  <c r="O18" i="70"/>
  <c r="N18" i="70"/>
  <c r="L18" i="70"/>
  <c r="O17" i="70"/>
  <c r="N17" i="70"/>
  <c r="L17" i="70"/>
  <c r="O16" i="70"/>
  <c r="N16" i="70"/>
  <c r="L16" i="70"/>
  <c r="H41" i="70"/>
  <c r="M41" i="70" s="1"/>
  <c r="H42" i="70"/>
  <c r="K42" i="70" s="1"/>
  <c r="H43" i="70"/>
  <c r="M43" i="70" s="1"/>
  <c r="H44" i="70"/>
  <c r="M44" i="70" s="1"/>
  <c r="P44" i="70" s="1"/>
  <c r="H45" i="70"/>
  <c r="K45" i="70" s="1"/>
  <c r="H46" i="70"/>
  <c r="M46" i="70" s="1"/>
  <c r="H47" i="70"/>
  <c r="M47" i="70" s="1"/>
  <c r="H48" i="70"/>
  <c r="M48" i="70" s="1"/>
  <c r="P48" i="70" s="1"/>
  <c r="H25" i="70"/>
  <c r="M25" i="70" s="1"/>
  <c r="H23" i="70"/>
  <c r="M23" i="70" s="1"/>
  <c r="H24" i="70"/>
  <c r="K24" i="70" s="1"/>
  <c r="H27" i="70"/>
  <c r="K27" i="70" s="1"/>
  <c r="H26" i="70"/>
  <c r="M26" i="70" s="1"/>
  <c r="H22" i="70"/>
  <c r="K22" i="70" s="1"/>
  <c r="H21" i="70"/>
  <c r="K21" i="70" s="1"/>
  <c r="H20" i="70"/>
  <c r="M20" i="70" s="1"/>
  <c r="H19" i="70"/>
  <c r="M19" i="70" s="1"/>
  <c r="H18" i="70"/>
  <c r="K18" i="70" s="1"/>
  <c r="H17" i="70"/>
  <c r="K17" i="70" s="1"/>
  <c r="H16" i="70"/>
  <c r="M16" i="70" s="1"/>
  <c r="H69" i="70"/>
  <c r="K69" i="70" s="1"/>
  <c r="H68" i="70"/>
  <c r="M68" i="70" s="1"/>
  <c r="H67" i="70"/>
  <c r="M67" i="70" s="1"/>
  <c r="M81" i="70"/>
  <c r="C81" i="70"/>
  <c r="M80" i="70"/>
  <c r="C80" i="70"/>
  <c r="L79" i="70"/>
  <c r="B79" i="70"/>
  <c r="A76" i="70"/>
  <c r="A75" i="70"/>
  <c r="O13" i="70"/>
  <c r="N13" i="70"/>
  <c r="M13" i="70"/>
  <c r="L13" i="70"/>
  <c r="K13" i="70"/>
  <c r="L9" i="70"/>
  <c r="A7" i="70"/>
  <c r="D6" i="70"/>
  <c r="C6" i="70"/>
  <c r="D5" i="70"/>
  <c r="D4" i="70"/>
  <c r="D3" i="70"/>
  <c r="A2" i="70"/>
  <c r="P54" i="70" l="1"/>
  <c r="P65" i="70"/>
  <c r="P26" i="70"/>
  <c r="P31" i="70"/>
  <c r="P59" i="70"/>
  <c r="P70" i="70"/>
  <c r="P55" i="70"/>
  <c r="P63" i="70"/>
  <c r="P16" i="70"/>
  <c r="P30" i="70"/>
  <c r="P34" i="70"/>
  <c r="P37" i="70"/>
  <c r="P50" i="70"/>
  <c r="P57" i="70"/>
  <c r="K25" i="70"/>
  <c r="P28" i="70"/>
  <c r="M42" i="70"/>
  <c r="P42" i="70" s="1"/>
  <c r="M17" i="70"/>
  <c r="P17" i="70" s="1"/>
  <c r="M24" i="70"/>
  <c r="P24" i="70" s="1"/>
  <c r="P32" i="70"/>
  <c r="K46" i="70"/>
  <c r="P66" i="70"/>
  <c r="P52" i="70"/>
  <c r="M69" i="70"/>
  <c r="K19" i="70"/>
  <c r="M21" i="70"/>
  <c r="P21" i="70" s="1"/>
  <c r="K43" i="70"/>
  <c r="K16" i="70"/>
  <c r="P20" i="70"/>
  <c r="P23" i="70"/>
  <c r="M18" i="70"/>
  <c r="K20" i="70"/>
  <c r="M22" i="70"/>
  <c r="P22" i="70" s="1"/>
  <c r="K23" i="70"/>
  <c r="K26" i="70"/>
  <c r="M27" i="70"/>
  <c r="P29" i="70"/>
  <c r="P38" i="70"/>
  <c r="K41" i="70"/>
  <c r="K44" i="70"/>
  <c r="M45" i="70"/>
  <c r="P45" i="70" s="1"/>
  <c r="K47" i="70"/>
  <c r="P53" i="70"/>
  <c r="P56" i="70"/>
  <c r="P60" i="70"/>
  <c r="P64" i="70"/>
  <c r="K68" i="70"/>
  <c r="P69" i="70"/>
  <c r="P47" i="70"/>
  <c r="P13" i="70"/>
  <c r="P18" i="70"/>
  <c r="P27" i="70"/>
  <c r="P35" i="70"/>
  <c r="P39" i="70"/>
  <c r="K48" i="70"/>
  <c r="P51" i="70"/>
  <c r="P61" i="70"/>
  <c r="P41" i="70"/>
  <c r="P19" i="70"/>
  <c r="P25" i="70"/>
  <c r="P33" i="70"/>
  <c r="P36" i="70"/>
  <c r="P40" i="70"/>
  <c r="P43" i="70"/>
  <c r="P46" i="70"/>
  <c r="P49" i="70"/>
  <c r="P58" i="70"/>
  <c r="P62" i="70"/>
  <c r="K67" i="70"/>
  <c r="P67" i="70"/>
  <c r="P68" i="70"/>
  <c r="N72" i="70"/>
  <c r="G27" i="54" s="1"/>
  <c r="L72" i="70"/>
  <c r="I27" i="54" s="1"/>
  <c r="O72" i="70"/>
  <c r="H27" i="54" s="1"/>
  <c r="H90" i="16"/>
  <c r="M90" i="16"/>
  <c r="N90" i="16"/>
  <c r="O90" i="16"/>
  <c r="P90" i="16"/>
  <c r="L90" i="16"/>
  <c r="K90" i="16"/>
  <c r="H223" i="10"/>
  <c r="E223" i="10"/>
  <c r="M223" i="10"/>
  <c r="N223" i="10"/>
  <c r="O223" i="10"/>
  <c r="P223" i="10"/>
  <c r="L223" i="10"/>
  <c r="K223" i="10"/>
  <c r="H222" i="10"/>
  <c r="E222" i="10"/>
  <c r="M222" i="10"/>
  <c r="N222" i="10"/>
  <c r="O222" i="10"/>
  <c r="P222" i="10"/>
  <c r="L222" i="10"/>
  <c r="K222" i="10"/>
  <c r="H221" i="10"/>
  <c r="M221" i="10"/>
  <c r="N221" i="10"/>
  <c r="O221" i="10"/>
  <c r="P221" i="10"/>
  <c r="L221" i="10"/>
  <c r="K221" i="10"/>
  <c r="H220" i="10"/>
  <c r="M220" i="10"/>
  <c r="I220" i="10"/>
  <c r="N220" i="10"/>
  <c r="O220" i="10"/>
  <c r="P220" i="10"/>
  <c r="L220" i="10"/>
  <c r="K220" i="10"/>
  <c r="H219" i="10"/>
  <c r="E219" i="10"/>
  <c r="M219" i="10"/>
  <c r="N219" i="10"/>
  <c r="O219" i="10"/>
  <c r="P219" i="10"/>
  <c r="L219" i="10"/>
  <c r="K219" i="10"/>
  <c r="H218" i="10"/>
  <c r="M218" i="10"/>
  <c r="N218" i="10"/>
  <c r="O218" i="10"/>
  <c r="P218" i="10"/>
  <c r="L218" i="10"/>
  <c r="K218" i="10"/>
  <c r="H217" i="10"/>
  <c r="M217" i="10"/>
  <c r="N217" i="10"/>
  <c r="O217" i="10"/>
  <c r="P217" i="10"/>
  <c r="L217" i="10"/>
  <c r="K217" i="10"/>
  <c r="H216" i="10"/>
  <c r="M216" i="10"/>
  <c r="N216" i="10"/>
  <c r="O216" i="10"/>
  <c r="P216" i="10"/>
  <c r="L216" i="10"/>
  <c r="K216" i="10"/>
  <c r="H215" i="10"/>
  <c r="M215" i="10"/>
  <c r="N215" i="10"/>
  <c r="O215" i="10"/>
  <c r="P215" i="10"/>
  <c r="L215" i="10"/>
  <c r="K215" i="10"/>
  <c r="H214" i="10"/>
  <c r="M214" i="10"/>
  <c r="N214" i="10"/>
  <c r="O214" i="10"/>
  <c r="P214" i="10"/>
  <c r="L214" i="10"/>
  <c r="K214" i="10"/>
  <c r="H205" i="10"/>
  <c r="M205" i="10"/>
  <c r="N205" i="10"/>
  <c r="O205" i="10"/>
  <c r="P205" i="10"/>
  <c r="L205" i="10"/>
  <c r="K205" i="10"/>
  <c r="H213" i="10"/>
  <c r="E213" i="10"/>
  <c r="M213" i="10"/>
  <c r="N213" i="10"/>
  <c r="O213" i="10"/>
  <c r="P213" i="10"/>
  <c r="L213" i="10"/>
  <c r="K213" i="10"/>
  <c r="H212" i="10"/>
  <c r="E212" i="10"/>
  <c r="M212" i="10"/>
  <c r="N212" i="10"/>
  <c r="O212" i="10"/>
  <c r="P212" i="10"/>
  <c r="L212" i="10"/>
  <c r="K212" i="10"/>
  <c r="H211" i="10"/>
  <c r="M211" i="10"/>
  <c r="N211" i="10"/>
  <c r="O211" i="10"/>
  <c r="P211" i="10"/>
  <c r="L211" i="10"/>
  <c r="K211" i="10"/>
  <c r="H210" i="10"/>
  <c r="M210" i="10"/>
  <c r="I210" i="10"/>
  <c r="N210" i="10"/>
  <c r="O210" i="10"/>
  <c r="P210" i="10"/>
  <c r="L210" i="10"/>
  <c r="K210" i="10"/>
  <c r="H209" i="10"/>
  <c r="E209" i="10"/>
  <c r="M209" i="10"/>
  <c r="N209" i="10"/>
  <c r="O209" i="10"/>
  <c r="P209" i="10"/>
  <c r="L209" i="10"/>
  <c r="K209" i="10"/>
  <c r="H208" i="10"/>
  <c r="M208" i="10"/>
  <c r="N208" i="10"/>
  <c r="O208" i="10"/>
  <c r="P208" i="10"/>
  <c r="L208" i="10"/>
  <c r="K208" i="10"/>
  <c r="H207" i="10"/>
  <c r="M207" i="10"/>
  <c r="N207" i="10"/>
  <c r="O207" i="10"/>
  <c r="P207" i="10"/>
  <c r="L207" i="10"/>
  <c r="K207" i="10"/>
  <c r="H206" i="10"/>
  <c r="M206" i="10"/>
  <c r="N206" i="10"/>
  <c r="O206" i="10"/>
  <c r="P206" i="10"/>
  <c r="L206" i="10"/>
  <c r="K206" i="10"/>
  <c r="H204" i="10"/>
  <c r="M204" i="10"/>
  <c r="N204" i="10"/>
  <c r="O204" i="10"/>
  <c r="P204" i="10"/>
  <c r="L204" i="10"/>
  <c r="K204" i="10"/>
  <c r="H47" i="11"/>
  <c r="M47" i="11"/>
  <c r="N47" i="11"/>
  <c r="O47" i="11"/>
  <c r="P47" i="11"/>
  <c r="L47" i="11"/>
  <c r="K47" i="11"/>
  <c r="H46" i="11"/>
  <c r="M46" i="11"/>
  <c r="N46" i="11"/>
  <c r="O46" i="11"/>
  <c r="P46" i="11"/>
  <c r="L46" i="11"/>
  <c r="K46" i="11"/>
  <c r="H61" i="11"/>
  <c r="M61" i="11"/>
  <c r="N61" i="11"/>
  <c r="O61" i="11"/>
  <c r="P61" i="11"/>
  <c r="L61" i="11"/>
  <c r="K61" i="11"/>
  <c r="E20" i="9"/>
  <c r="E22" i="9"/>
  <c r="E63" i="66"/>
  <c r="L17" i="69"/>
  <c r="M17" i="69"/>
  <c r="N17" i="69"/>
  <c r="O17" i="69"/>
  <c r="P17" i="69"/>
  <c r="Q17" i="69"/>
  <c r="L18" i="69"/>
  <c r="M18" i="69"/>
  <c r="N18" i="69"/>
  <c r="O18" i="69"/>
  <c r="Q18" i="69"/>
  <c r="P18" i="69"/>
  <c r="L19" i="69"/>
  <c r="M19" i="69"/>
  <c r="N19" i="69"/>
  <c r="O19" i="69"/>
  <c r="Q19" i="69"/>
  <c r="P19" i="69"/>
  <c r="L20" i="69"/>
  <c r="M20" i="69"/>
  <c r="N20" i="69"/>
  <c r="O20" i="69"/>
  <c r="Q20" i="69"/>
  <c r="P20" i="69"/>
  <c r="L21" i="69"/>
  <c r="M21" i="69"/>
  <c r="N21" i="69"/>
  <c r="O21" i="69"/>
  <c r="P21" i="69"/>
  <c r="Q21" i="69"/>
  <c r="L22" i="69"/>
  <c r="M22" i="69"/>
  <c r="N22" i="69"/>
  <c r="O22" i="69"/>
  <c r="Q22" i="69"/>
  <c r="P22" i="69"/>
  <c r="L23" i="69"/>
  <c r="M23" i="69"/>
  <c r="N23" i="69"/>
  <c r="O23" i="69"/>
  <c r="P23" i="69"/>
  <c r="Q23" i="69"/>
  <c r="L24" i="69"/>
  <c r="M24" i="69"/>
  <c r="N24" i="69"/>
  <c r="O24" i="69"/>
  <c r="Q24" i="69"/>
  <c r="P24" i="69"/>
  <c r="L25" i="69"/>
  <c r="M25" i="69"/>
  <c r="N25" i="69"/>
  <c r="O25" i="69"/>
  <c r="P25" i="69"/>
  <c r="Q25" i="69"/>
  <c r="L26" i="69"/>
  <c r="M26" i="69"/>
  <c r="N26" i="69"/>
  <c r="O26" i="69"/>
  <c r="Q26" i="69"/>
  <c r="P26" i="69"/>
  <c r="L27" i="69"/>
  <c r="M27" i="69"/>
  <c r="N27" i="69"/>
  <c r="O27" i="69"/>
  <c r="P27" i="69"/>
  <c r="Q27" i="69"/>
  <c r="L28" i="69"/>
  <c r="M28" i="69"/>
  <c r="N28" i="69"/>
  <c r="O28" i="69"/>
  <c r="Q28" i="69"/>
  <c r="P28" i="69"/>
  <c r="L29" i="69"/>
  <c r="M29" i="69"/>
  <c r="N29" i="69"/>
  <c r="O29" i="69"/>
  <c r="P29" i="69"/>
  <c r="Q29" i="69"/>
  <c r="L30" i="69"/>
  <c r="M30" i="69"/>
  <c r="N30" i="69"/>
  <c r="O30" i="69"/>
  <c r="Q30" i="69"/>
  <c r="P30" i="69"/>
  <c r="L31" i="69"/>
  <c r="M31" i="69"/>
  <c r="N31" i="69"/>
  <c r="O31" i="69"/>
  <c r="P31" i="69"/>
  <c r="Q31" i="69"/>
  <c r="L32" i="69"/>
  <c r="M32" i="69"/>
  <c r="N32" i="69"/>
  <c r="O32" i="69"/>
  <c r="Q32" i="69"/>
  <c r="P32" i="69"/>
  <c r="L33" i="69"/>
  <c r="M33" i="69"/>
  <c r="N33" i="69"/>
  <c r="O33" i="69"/>
  <c r="P33" i="69"/>
  <c r="Q33" i="69"/>
  <c r="L34" i="69"/>
  <c r="M34" i="69"/>
  <c r="N34" i="69"/>
  <c r="O34" i="69"/>
  <c r="Q34" i="69"/>
  <c r="P34" i="69"/>
  <c r="L35" i="69"/>
  <c r="M35" i="69"/>
  <c r="N35" i="69"/>
  <c r="O35" i="69"/>
  <c r="P35" i="69"/>
  <c r="Q35" i="69"/>
  <c r="L36" i="69"/>
  <c r="M36" i="69"/>
  <c r="N36" i="69"/>
  <c r="Q36" i="69"/>
  <c r="O36" i="69"/>
  <c r="P36" i="69"/>
  <c r="L37" i="69"/>
  <c r="M37" i="69"/>
  <c r="N37" i="69"/>
  <c r="O37" i="69"/>
  <c r="P37" i="69"/>
  <c r="Q37" i="69"/>
  <c r="L38" i="69"/>
  <c r="M38" i="69"/>
  <c r="N38" i="69"/>
  <c r="O38" i="69"/>
  <c r="Q38" i="69"/>
  <c r="P38" i="69"/>
  <c r="L39" i="69"/>
  <c r="M39" i="69"/>
  <c r="N39" i="69"/>
  <c r="O39" i="69"/>
  <c r="P39" i="69"/>
  <c r="Q39" i="69"/>
  <c r="L40" i="69"/>
  <c r="M40" i="69"/>
  <c r="N40" i="69"/>
  <c r="O40" i="69"/>
  <c r="Q40" i="69"/>
  <c r="P40" i="69"/>
  <c r="L41" i="69"/>
  <c r="M41" i="69"/>
  <c r="N41" i="69"/>
  <c r="O41" i="69"/>
  <c r="P41" i="69"/>
  <c r="Q41" i="69"/>
  <c r="L42" i="69"/>
  <c r="M42" i="69"/>
  <c r="N42" i="69"/>
  <c r="O42" i="69"/>
  <c r="Q42" i="69"/>
  <c r="P42" i="69"/>
  <c r="L43" i="69"/>
  <c r="M43" i="69"/>
  <c r="N43" i="69"/>
  <c r="O43" i="69"/>
  <c r="P43" i="69"/>
  <c r="Q43" i="69"/>
  <c r="L44" i="69"/>
  <c r="M44" i="69"/>
  <c r="N44" i="69"/>
  <c r="O44" i="69"/>
  <c r="Q44" i="69"/>
  <c r="P44" i="69"/>
  <c r="L45" i="69"/>
  <c r="M45" i="69"/>
  <c r="N45" i="69"/>
  <c r="O45" i="69"/>
  <c r="P45" i="69"/>
  <c r="Q45" i="69"/>
  <c r="L46" i="69"/>
  <c r="M46" i="69"/>
  <c r="N46" i="69"/>
  <c r="O46" i="69"/>
  <c r="Q46" i="69"/>
  <c r="P46" i="69"/>
  <c r="L47" i="69"/>
  <c r="M47" i="69"/>
  <c r="N47" i="69"/>
  <c r="O47" i="69"/>
  <c r="P47" i="69"/>
  <c r="Q47" i="69"/>
  <c r="L48" i="69"/>
  <c r="M48" i="69"/>
  <c r="N48" i="69"/>
  <c r="O48" i="69"/>
  <c r="Q48" i="69"/>
  <c r="P48" i="69"/>
  <c r="L49" i="69"/>
  <c r="M49" i="69"/>
  <c r="N49" i="69"/>
  <c r="O49" i="69"/>
  <c r="P49" i="69"/>
  <c r="Q49" i="69"/>
  <c r="L50" i="69"/>
  <c r="M50" i="69"/>
  <c r="N50" i="69"/>
  <c r="O50" i="69"/>
  <c r="Q50" i="69"/>
  <c r="P50" i="69"/>
  <c r="L51" i="69"/>
  <c r="M51" i="69"/>
  <c r="N51" i="69"/>
  <c r="O51" i="69"/>
  <c r="P51" i="69"/>
  <c r="Q51" i="69"/>
  <c r="L52" i="69"/>
  <c r="M52" i="69"/>
  <c r="N52" i="69"/>
  <c r="O52" i="69"/>
  <c r="Q52" i="69"/>
  <c r="P52" i="69"/>
  <c r="L53" i="69"/>
  <c r="M53" i="69"/>
  <c r="N53" i="69"/>
  <c r="O53" i="69"/>
  <c r="P53" i="69"/>
  <c r="Q53" i="69"/>
  <c r="L54" i="69"/>
  <c r="M54" i="69"/>
  <c r="N54" i="69"/>
  <c r="O54" i="69"/>
  <c r="Q54" i="69"/>
  <c r="P54" i="69"/>
  <c r="L55" i="69"/>
  <c r="M55" i="69"/>
  <c r="N55" i="69"/>
  <c r="O55" i="69"/>
  <c r="P55" i="69"/>
  <c r="Q55" i="69"/>
  <c r="L56" i="69"/>
  <c r="M56" i="69"/>
  <c r="N56" i="69"/>
  <c r="O56" i="69"/>
  <c r="Q56" i="69"/>
  <c r="P56" i="69"/>
  <c r="L57" i="69"/>
  <c r="M57" i="69"/>
  <c r="N57" i="69"/>
  <c r="O57" i="69"/>
  <c r="P57" i="69"/>
  <c r="Q57" i="69"/>
  <c r="L58" i="69"/>
  <c r="M58" i="69"/>
  <c r="N58" i="69"/>
  <c r="O58" i="69"/>
  <c r="Q58" i="69"/>
  <c r="P58" i="69"/>
  <c r="L59" i="69"/>
  <c r="M59" i="69"/>
  <c r="N59" i="69"/>
  <c r="O59" i="69"/>
  <c r="P59" i="69"/>
  <c r="Q59" i="69"/>
  <c r="L60" i="69"/>
  <c r="M60" i="69"/>
  <c r="N60" i="69"/>
  <c r="O60" i="69"/>
  <c r="Q60" i="69"/>
  <c r="P60" i="69"/>
  <c r="L61" i="69"/>
  <c r="M61" i="69"/>
  <c r="N61" i="69"/>
  <c r="O61" i="69"/>
  <c r="P61" i="69"/>
  <c r="Q61" i="69"/>
  <c r="L62" i="69"/>
  <c r="M62" i="69"/>
  <c r="N62" i="69"/>
  <c r="O62" i="69"/>
  <c r="Q62" i="69"/>
  <c r="P62" i="69"/>
  <c r="L63" i="69"/>
  <c r="M63" i="69"/>
  <c r="N63" i="69"/>
  <c r="O63" i="69"/>
  <c r="P63" i="69"/>
  <c r="Q63" i="69"/>
  <c r="L64" i="69"/>
  <c r="M64" i="69"/>
  <c r="N64" i="69"/>
  <c r="O64" i="69"/>
  <c r="Q64" i="69"/>
  <c r="P64" i="69"/>
  <c r="L65" i="69"/>
  <c r="M65" i="69"/>
  <c r="N65" i="69"/>
  <c r="O65" i="69"/>
  <c r="P65" i="69"/>
  <c r="Q65" i="69"/>
  <c r="L66" i="69"/>
  <c r="M66" i="69"/>
  <c r="N66" i="69"/>
  <c r="Q66" i="69"/>
  <c r="O66" i="69"/>
  <c r="P66" i="69"/>
  <c r="L67" i="69"/>
  <c r="M67" i="69"/>
  <c r="N67" i="69"/>
  <c r="O67" i="69"/>
  <c r="P67" i="69"/>
  <c r="Q67" i="69"/>
  <c r="L68" i="69"/>
  <c r="M68" i="69"/>
  <c r="N68" i="69"/>
  <c r="O68" i="69"/>
  <c r="Q68" i="69"/>
  <c r="P68" i="69"/>
  <c r="L69" i="69"/>
  <c r="M69" i="69"/>
  <c r="N69" i="69"/>
  <c r="O69" i="69"/>
  <c r="P69" i="69"/>
  <c r="Q69" i="69"/>
  <c r="L70" i="69"/>
  <c r="M70" i="69"/>
  <c r="N70" i="69"/>
  <c r="O70" i="69"/>
  <c r="P70" i="69"/>
  <c r="Q70" i="69"/>
  <c r="L71" i="69"/>
  <c r="M71" i="69"/>
  <c r="N71" i="69"/>
  <c r="O71" i="69"/>
  <c r="Q71" i="69"/>
  <c r="P71" i="69"/>
  <c r="L72" i="69"/>
  <c r="M72" i="69"/>
  <c r="N72" i="69"/>
  <c r="O72" i="69"/>
  <c r="P72" i="69"/>
  <c r="Q72" i="69"/>
  <c r="L73" i="69"/>
  <c r="M73" i="69"/>
  <c r="N73" i="69"/>
  <c r="O73" i="69"/>
  <c r="Q73" i="69"/>
  <c r="P73" i="69"/>
  <c r="L74" i="69"/>
  <c r="M74" i="69"/>
  <c r="N74" i="69"/>
  <c r="O74" i="69"/>
  <c r="P74" i="69"/>
  <c r="Q74" i="69"/>
  <c r="L75" i="69"/>
  <c r="M75" i="69"/>
  <c r="N75" i="69"/>
  <c r="O75" i="69"/>
  <c r="Q75" i="69"/>
  <c r="P75" i="69"/>
  <c r="L76" i="69"/>
  <c r="M76" i="69"/>
  <c r="N76" i="69"/>
  <c r="O76" i="69"/>
  <c r="P76" i="69"/>
  <c r="Q76" i="69"/>
  <c r="L77" i="69"/>
  <c r="M77" i="69"/>
  <c r="N77" i="69"/>
  <c r="O77" i="69"/>
  <c r="P77" i="69"/>
  <c r="Q77" i="69"/>
  <c r="L78" i="69"/>
  <c r="M78" i="69"/>
  <c r="N78" i="69"/>
  <c r="O78" i="69"/>
  <c r="P78" i="69"/>
  <c r="Q78" i="69"/>
  <c r="L79" i="69"/>
  <c r="M79" i="69"/>
  <c r="N79" i="69"/>
  <c r="O79" i="69"/>
  <c r="P79" i="69"/>
  <c r="Q79" i="69"/>
  <c r="L80" i="69"/>
  <c r="M80" i="69"/>
  <c r="N80" i="69"/>
  <c r="Q80" i="69"/>
  <c r="O80" i="69"/>
  <c r="P80" i="69"/>
  <c r="L81" i="69"/>
  <c r="M81" i="69"/>
  <c r="N81" i="69"/>
  <c r="O81" i="69"/>
  <c r="P81" i="69"/>
  <c r="Q81" i="69"/>
  <c r="L82" i="69"/>
  <c r="M82" i="69"/>
  <c r="N82" i="69"/>
  <c r="Q82" i="69"/>
  <c r="O82" i="69"/>
  <c r="P82" i="69"/>
  <c r="L83" i="69"/>
  <c r="M83" i="69"/>
  <c r="N83" i="69"/>
  <c r="O83" i="69"/>
  <c r="P83" i="69"/>
  <c r="Q83" i="69"/>
  <c r="L84" i="69"/>
  <c r="M84" i="69"/>
  <c r="N84" i="69"/>
  <c r="Q84" i="69"/>
  <c r="O84" i="69"/>
  <c r="P84" i="69"/>
  <c r="L85" i="69"/>
  <c r="M85" i="69"/>
  <c r="N85" i="69"/>
  <c r="O85" i="69"/>
  <c r="P85" i="69"/>
  <c r="Q85" i="69"/>
  <c r="L86" i="69"/>
  <c r="M86" i="69"/>
  <c r="N86" i="69"/>
  <c r="Q86" i="69"/>
  <c r="O86" i="69"/>
  <c r="P86" i="69"/>
  <c r="L87" i="69"/>
  <c r="M87" i="69"/>
  <c r="N87" i="69"/>
  <c r="O87" i="69"/>
  <c r="P87" i="69"/>
  <c r="Q87" i="69"/>
  <c r="L88" i="69"/>
  <c r="M88" i="69"/>
  <c r="N88" i="69"/>
  <c r="Q88" i="69"/>
  <c r="O88" i="69"/>
  <c r="P88" i="69"/>
  <c r="L89" i="69"/>
  <c r="M89" i="69"/>
  <c r="N89" i="69"/>
  <c r="O89" i="69"/>
  <c r="P89" i="69"/>
  <c r="Q89" i="69"/>
  <c r="L90" i="69"/>
  <c r="M90" i="69"/>
  <c r="N90" i="69"/>
  <c r="Q90" i="69"/>
  <c r="O90" i="69"/>
  <c r="P90" i="69"/>
  <c r="L91" i="69"/>
  <c r="M91" i="69"/>
  <c r="N91" i="69"/>
  <c r="O91" i="69"/>
  <c r="P91" i="69"/>
  <c r="Q91" i="69"/>
  <c r="L92" i="69"/>
  <c r="M92" i="69"/>
  <c r="N92" i="69"/>
  <c r="Q92" i="69"/>
  <c r="O92" i="69"/>
  <c r="P92" i="69"/>
  <c r="L93" i="69"/>
  <c r="M93" i="69"/>
  <c r="N93" i="69"/>
  <c r="O93" i="69"/>
  <c r="P93" i="69"/>
  <c r="Q93" i="69"/>
  <c r="L94" i="69"/>
  <c r="M94" i="69"/>
  <c r="N94" i="69"/>
  <c r="Q94" i="69"/>
  <c r="O94" i="69"/>
  <c r="P94" i="69"/>
  <c r="L95" i="69"/>
  <c r="M95" i="69"/>
  <c r="N95" i="69"/>
  <c r="O95" i="69"/>
  <c r="P95" i="69"/>
  <c r="Q95" i="69"/>
  <c r="L96" i="69"/>
  <c r="M96" i="69"/>
  <c r="N96" i="69"/>
  <c r="Q96" i="69"/>
  <c r="O96" i="69"/>
  <c r="P96" i="69"/>
  <c r="I96" i="69"/>
  <c r="K96" i="69"/>
  <c r="I95" i="69"/>
  <c r="K95" i="69"/>
  <c r="I94" i="69"/>
  <c r="K94" i="69"/>
  <c r="I93" i="69"/>
  <c r="K93" i="69"/>
  <c r="I92" i="69"/>
  <c r="K92" i="69"/>
  <c r="I90" i="69"/>
  <c r="K90" i="69"/>
  <c r="I89" i="69"/>
  <c r="K86" i="69"/>
  <c r="I86" i="69"/>
  <c r="K85" i="69"/>
  <c r="I85" i="69"/>
  <c r="K84" i="69"/>
  <c r="K83" i="69"/>
  <c r="K82" i="69"/>
  <c r="I82" i="69"/>
  <c r="K81" i="69"/>
  <c r="I81" i="69"/>
  <c r="K80" i="69"/>
  <c r="I80" i="69"/>
  <c r="K79" i="69"/>
  <c r="I79" i="69"/>
  <c r="K78" i="69"/>
  <c r="I78" i="69"/>
  <c r="I77" i="69"/>
  <c r="K77" i="69"/>
  <c r="I76" i="69"/>
  <c r="K76" i="69"/>
  <c r="I75" i="69"/>
  <c r="K75" i="69"/>
  <c r="I74" i="69"/>
  <c r="K74" i="69"/>
  <c r="I73" i="69"/>
  <c r="K73" i="69"/>
  <c r="I72" i="69"/>
  <c r="K72" i="69"/>
  <c r="I71" i="69"/>
  <c r="K71" i="69"/>
  <c r="I70" i="69"/>
  <c r="K70" i="69"/>
  <c r="I69" i="69"/>
  <c r="K69" i="69"/>
  <c r="I68" i="69"/>
  <c r="K68" i="69"/>
  <c r="I67" i="69"/>
  <c r="K67" i="69"/>
  <c r="I65" i="69"/>
  <c r="K65" i="69"/>
  <c r="I64" i="69"/>
  <c r="K64" i="69"/>
  <c r="I63" i="69"/>
  <c r="K63" i="69"/>
  <c r="I62" i="69"/>
  <c r="K62" i="69"/>
  <c r="I61" i="69"/>
  <c r="K61" i="69"/>
  <c r="I60" i="69"/>
  <c r="K60" i="69"/>
  <c r="I59" i="69"/>
  <c r="K59" i="69"/>
  <c r="I58" i="69"/>
  <c r="K58" i="69"/>
  <c r="I57" i="69"/>
  <c r="K57" i="69"/>
  <c r="I56" i="69"/>
  <c r="K56" i="69"/>
  <c r="I54" i="69"/>
  <c r="K54" i="69"/>
  <c r="I53" i="69"/>
  <c r="K53" i="69"/>
  <c r="I52" i="69"/>
  <c r="K52" i="69"/>
  <c r="I51" i="69"/>
  <c r="K51" i="69"/>
  <c r="I50" i="69"/>
  <c r="K50" i="69"/>
  <c r="I49" i="69"/>
  <c r="K49" i="69"/>
  <c r="I48" i="69"/>
  <c r="K48" i="69"/>
  <c r="I47" i="69"/>
  <c r="K47" i="69"/>
  <c r="I46" i="69"/>
  <c r="K46" i="69"/>
  <c r="I45" i="69"/>
  <c r="K45" i="69"/>
  <c r="I44" i="69"/>
  <c r="K44" i="69"/>
  <c r="I42" i="69"/>
  <c r="K42" i="69"/>
  <c r="I41" i="69"/>
  <c r="K41" i="69"/>
  <c r="I40" i="69"/>
  <c r="K40" i="69"/>
  <c r="I39" i="69"/>
  <c r="K39" i="69"/>
  <c r="I38" i="69"/>
  <c r="K38" i="69"/>
  <c r="I37" i="69"/>
  <c r="K37" i="69"/>
  <c r="I35" i="69"/>
  <c r="K35" i="69"/>
  <c r="I34" i="69"/>
  <c r="K34" i="69"/>
  <c r="I33" i="69"/>
  <c r="K33" i="69"/>
  <c r="I32" i="69"/>
  <c r="K32" i="69"/>
  <c r="I31" i="69"/>
  <c r="K31" i="69"/>
  <c r="I30" i="69"/>
  <c r="K30" i="69"/>
  <c r="I29" i="69"/>
  <c r="K29" i="69"/>
  <c r="I28" i="69"/>
  <c r="K28" i="69"/>
  <c r="I27" i="69"/>
  <c r="K27" i="69"/>
  <c r="I26" i="69"/>
  <c r="K26" i="69"/>
  <c r="I25" i="69"/>
  <c r="K25" i="69"/>
  <c r="I24" i="69"/>
  <c r="K24" i="69"/>
  <c r="I23" i="69"/>
  <c r="K23" i="69"/>
  <c r="I22" i="69"/>
  <c r="K22" i="69"/>
  <c r="I21" i="69"/>
  <c r="K21" i="69"/>
  <c r="I20" i="69"/>
  <c r="K20" i="69"/>
  <c r="I19" i="69"/>
  <c r="K19" i="69"/>
  <c r="I18" i="69"/>
  <c r="K18" i="69"/>
  <c r="I17" i="69"/>
  <c r="K17" i="69"/>
  <c r="I16" i="69"/>
  <c r="K16" i="69"/>
  <c r="H56" i="60"/>
  <c r="H55" i="60"/>
  <c r="H54" i="60"/>
  <c r="H53" i="60"/>
  <c r="H52" i="60"/>
  <c r="J44" i="60"/>
  <c r="J43" i="60"/>
  <c r="H41" i="60"/>
  <c r="K41" i="60" s="1"/>
  <c r="H40" i="60"/>
  <c r="K40" i="60" s="1"/>
  <c r="H39" i="60"/>
  <c r="H38" i="60"/>
  <c r="H37" i="60"/>
  <c r="H36" i="60"/>
  <c r="H35" i="60"/>
  <c r="H34" i="60"/>
  <c r="H33" i="60"/>
  <c r="H32" i="60"/>
  <c r="H20" i="60"/>
  <c r="H19" i="60"/>
  <c r="M19" i="60"/>
  <c r="H18" i="60"/>
  <c r="H17" i="60"/>
  <c r="M17" i="60"/>
  <c r="H16" i="60"/>
  <c r="L17" i="60"/>
  <c r="N17" i="60"/>
  <c r="L18" i="60"/>
  <c r="M18" i="60"/>
  <c r="N18" i="60"/>
  <c r="L19" i="60"/>
  <c r="N19" i="60"/>
  <c r="L20" i="60"/>
  <c r="M20" i="60"/>
  <c r="N20" i="60"/>
  <c r="L21" i="60"/>
  <c r="M21" i="60"/>
  <c r="N21" i="60"/>
  <c r="L22" i="60"/>
  <c r="M22" i="60"/>
  <c r="N22" i="60"/>
  <c r="L23" i="60"/>
  <c r="M23" i="60"/>
  <c r="N23" i="60"/>
  <c r="L24" i="60"/>
  <c r="M24" i="60"/>
  <c r="N24" i="60"/>
  <c r="L25" i="60"/>
  <c r="M25" i="60"/>
  <c r="N25" i="60"/>
  <c r="L26" i="60"/>
  <c r="M26" i="60"/>
  <c r="N26" i="60"/>
  <c r="L27" i="60"/>
  <c r="M27" i="60"/>
  <c r="N27" i="60"/>
  <c r="L28" i="60"/>
  <c r="M28" i="60"/>
  <c r="N28" i="60"/>
  <c r="L29" i="60"/>
  <c r="M29" i="60"/>
  <c r="N29" i="60"/>
  <c r="L30" i="60"/>
  <c r="M30" i="60"/>
  <c r="N30" i="60"/>
  <c r="L31" i="60"/>
  <c r="M31" i="60"/>
  <c r="N31" i="60"/>
  <c r="L32" i="60"/>
  <c r="M32" i="60"/>
  <c r="N32" i="60"/>
  <c r="L33" i="60"/>
  <c r="M33" i="60"/>
  <c r="N33" i="60"/>
  <c r="L34" i="60"/>
  <c r="M34" i="60"/>
  <c r="N34" i="60"/>
  <c r="L35" i="60"/>
  <c r="M35" i="60"/>
  <c r="N35" i="60"/>
  <c r="L36" i="60"/>
  <c r="M36" i="60"/>
  <c r="N36" i="60"/>
  <c r="L37" i="60"/>
  <c r="M37" i="60"/>
  <c r="N37" i="60"/>
  <c r="L38" i="60"/>
  <c r="M38" i="60"/>
  <c r="N38" i="60"/>
  <c r="L39" i="60"/>
  <c r="M39" i="60"/>
  <c r="N39" i="60"/>
  <c r="L40" i="60"/>
  <c r="M40" i="60"/>
  <c r="N40" i="60"/>
  <c r="L41" i="60"/>
  <c r="M41" i="60"/>
  <c r="N41" i="60"/>
  <c r="O41" i="60"/>
  <c r="L42" i="60"/>
  <c r="M42" i="60"/>
  <c r="N42" i="60"/>
  <c r="L43" i="60"/>
  <c r="M43" i="60"/>
  <c r="L44" i="60"/>
  <c r="M44" i="60"/>
  <c r="L45" i="60"/>
  <c r="M45" i="60"/>
  <c r="N45" i="60"/>
  <c r="L46" i="60"/>
  <c r="M46" i="60"/>
  <c r="N46" i="60"/>
  <c r="L47" i="60"/>
  <c r="M47" i="60"/>
  <c r="N47" i="60"/>
  <c r="L48" i="60"/>
  <c r="M48" i="60"/>
  <c r="N48" i="60"/>
  <c r="L49" i="60"/>
  <c r="M49" i="60"/>
  <c r="N49" i="60"/>
  <c r="L50" i="60"/>
  <c r="M50" i="60"/>
  <c r="N50" i="60"/>
  <c r="L51" i="60"/>
  <c r="M51" i="60"/>
  <c r="N51" i="60"/>
  <c r="L52" i="60"/>
  <c r="M52" i="60"/>
  <c r="N52" i="60"/>
  <c r="L53" i="60"/>
  <c r="M53" i="60"/>
  <c r="N53" i="60"/>
  <c r="L54" i="60"/>
  <c r="M54" i="60"/>
  <c r="N54" i="60"/>
  <c r="L55" i="60"/>
  <c r="M55" i="60"/>
  <c r="N55" i="60"/>
  <c r="L56" i="60"/>
  <c r="M56" i="60"/>
  <c r="N56" i="60"/>
  <c r="L57" i="60"/>
  <c r="M57" i="60"/>
  <c r="N57" i="60"/>
  <c r="L58" i="60"/>
  <c r="M58" i="60"/>
  <c r="N58" i="60"/>
  <c r="N44" i="60"/>
  <c r="N43" i="60"/>
  <c r="O44" i="60"/>
  <c r="O43" i="60"/>
  <c r="K42" i="60"/>
  <c r="K39" i="60"/>
  <c r="K38" i="60"/>
  <c r="K37" i="60"/>
  <c r="K36" i="60"/>
  <c r="K35" i="60"/>
  <c r="K34" i="60"/>
  <c r="K33" i="60"/>
  <c r="K32" i="60"/>
  <c r="K31" i="60"/>
  <c r="K30" i="60"/>
  <c r="K29" i="60"/>
  <c r="K28" i="60"/>
  <c r="K27" i="60"/>
  <c r="K26" i="60"/>
  <c r="K25" i="60"/>
  <c r="K24" i="60"/>
  <c r="K23" i="60"/>
  <c r="K22" i="60"/>
  <c r="K21" i="60"/>
  <c r="K20" i="60"/>
  <c r="K19" i="60"/>
  <c r="K18" i="60"/>
  <c r="K17" i="60"/>
  <c r="H62" i="59"/>
  <c r="H61" i="59"/>
  <c r="H60" i="59"/>
  <c r="H59" i="59"/>
  <c r="H58" i="59"/>
  <c r="H57" i="59"/>
  <c r="H56" i="59"/>
  <c r="H55" i="59"/>
  <c r="H54" i="59"/>
  <c r="A54" i="59"/>
  <c r="A55" i="59"/>
  <c r="A56" i="59"/>
  <c r="A57" i="59"/>
  <c r="A58" i="59"/>
  <c r="A59" i="59"/>
  <c r="A60" i="59"/>
  <c r="A61" i="59"/>
  <c r="A62" i="59"/>
  <c r="H53" i="59"/>
  <c r="G52" i="59"/>
  <c r="F52" i="59"/>
  <c r="H51" i="59"/>
  <c r="H50" i="59"/>
  <c r="H49" i="59"/>
  <c r="H48" i="59"/>
  <c r="H47" i="59"/>
  <c r="E47" i="59"/>
  <c r="H46" i="59"/>
  <c r="E46" i="59"/>
  <c r="G45" i="59"/>
  <c r="F45" i="59"/>
  <c r="H44" i="59"/>
  <c r="H43" i="59"/>
  <c r="A43" i="59"/>
  <c r="A44" i="59"/>
  <c r="H42" i="59"/>
  <c r="A42" i="59"/>
  <c r="H41" i="59"/>
  <c r="E41" i="59"/>
  <c r="A41" i="59"/>
  <c r="H40" i="59"/>
  <c r="G39" i="59"/>
  <c r="F39" i="59"/>
  <c r="G38" i="59"/>
  <c r="F38" i="59"/>
  <c r="E38" i="59"/>
  <c r="G37" i="59"/>
  <c r="F37" i="59"/>
  <c r="G36" i="59"/>
  <c r="F36" i="59"/>
  <c r="G35" i="59"/>
  <c r="F35" i="59"/>
  <c r="G34" i="59"/>
  <c r="F34" i="59"/>
  <c r="G33" i="59"/>
  <c r="F33" i="59"/>
  <c r="G32" i="59"/>
  <c r="F32" i="59"/>
  <c r="G31" i="59"/>
  <c r="F31" i="59"/>
  <c r="G30" i="59"/>
  <c r="F30" i="59"/>
  <c r="G29" i="59"/>
  <c r="F29" i="59"/>
  <c r="G28" i="59"/>
  <c r="F28" i="59"/>
  <c r="G27" i="59"/>
  <c r="F27" i="59"/>
  <c r="G26" i="59"/>
  <c r="F26" i="59"/>
  <c r="A26" i="59"/>
  <c r="A27" i="59"/>
  <c r="A28" i="59"/>
  <c r="A29" i="59"/>
  <c r="A30" i="59"/>
  <c r="A31" i="59"/>
  <c r="A32" i="59"/>
  <c r="A33" i="59"/>
  <c r="A34" i="59"/>
  <c r="A35" i="59"/>
  <c r="A36" i="59"/>
  <c r="A37" i="59"/>
  <c r="A38" i="59"/>
  <c r="G25" i="59"/>
  <c r="F25" i="59"/>
  <c r="G23" i="59"/>
  <c r="F23" i="59"/>
  <c r="G22" i="59"/>
  <c r="F22" i="59"/>
  <c r="G21" i="59"/>
  <c r="F21" i="59"/>
  <c r="G20" i="59"/>
  <c r="F20" i="59"/>
  <c r="G19" i="59"/>
  <c r="F19" i="59"/>
  <c r="G18" i="59"/>
  <c r="F18" i="59"/>
  <c r="G17" i="59"/>
  <c r="F17" i="59"/>
  <c r="G16" i="59"/>
  <c r="F16" i="59"/>
  <c r="A16" i="59"/>
  <c r="A17" i="59"/>
  <c r="A18" i="59"/>
  <c r="A19" i="59"/>
  <c r="A20" i="59"/>
  <c r="A21" i="59"/>
  <c r="A22" i="59"/>
  <c r="A23" i="59"/>
  <c r="G15" i="59"/>
  <c r="F15" i="59"/>
  <c r="H43" i="57"/>
  <c r="G43" i="57"/>
  <c r="H42" i="57"/>
  <c r="G42" i="57"/>
  <c r="H41" i="57"/>
  <c r="G41" i="57"/>
  <c r="I40" i="57"/>
  <c r="G39" i="57"/>
  <c r="I38" i="57"/>
  <c r="I37" i="57"/>
  <c r="I36" i="57"/>
  <c r="I35" i="57"/>
  <c r="I34" i="57"/>
  <c r="I33" i="57"/>
  <c r="I32" i="57"/>
  <c r="I31" i="57"/>
  <c r="I30" i="57"/>
  <c r="H28" i="57"/>
  <c r="G28" i="57"/>
  <c r="H14" i="57"/>
  <c r="G14" i="57"/>
  <c r="H40" i="56"/>
  <c r="G40" i="56"/>
  <c r="H39" i="56"/>
  <c r="G39" i="56"/>
  <c r="H38" i="56"/>
  <c r="G38" i="56"/>
  <c r="I37" i="56"/>
  <c r="G36" i="56"/>
  <c r="I35" i="56"/>
  <c r="I34" i="56"/>
  <c r="I33" i="56"/>
  <c r="I32" i="56"/>
  <c r="I31" i="56"/>
  <c r="I30" i="56"/>
  <c r="I29" i="56"/>
  <c r="I28" i="56"/>
  <c r="I27" i="56"/>
  <c r="I26" i="56"/>
  <c r="H25" i="56"/>
  <c r="G25" i="56"/>
  <c r="H24" i="56"/>
  <c r="G24" i="56"/>
  <c r="H14" i="56"/>
  <c r="G14" i="56"/>
  <c r="H48" i="55"/>
  <c r="G48" i="55"/>
  <c r="H47" i="55"/>
  <c r="G47" i="55"/>
  <c r="H46" i="55"/>
  <c r="G46" i="55"/>
  <c r="I45" i="55"/>
  <c r="I44" i="55"/>
  <c r="I43" i="55"/>
  <c r="I42" i="55"/>
  <c r="I41" i="55"/>
  <c r="I40" i="55"/>
  <c r="I39" i="55"/>
  <c r="I38" i="55"/>
  <c r="I37" i="55"/>
  <c r="I36" i="55"/>
  <c r="I35" i="55"/>
  <c r="I34" i="55"/>
  <c r="I33" i="55"/>
  <c r="H32" i="55"/>
  <c r="G32" i="55"/>
  <c r="H14" i="55"/>
  <c r="G14" i="55"/>
  <c r="L47" i="44"/>
  <c r="M47" i="44"/>
  <c r="N47" i="44"/>
  <c r="Q47" i="44" s="1"/>
  <c r="O47" i="44"/>
  <c r="P47" i="44"/>
  <c r="I24" i="44"/>
  <c r="K24" i="44" s="1"/>
  <c r="K20" i="43"/>
  <c r="I20" i="43"/>
  <c r="K19" i="43"/>
  <c r="I19" i="43"/>
  <c r="K18" i="43"/>
  <c r="L18" i="43"/>
  <c r="I18" i="43"/>
  <c r="K17" i="43"/>
  <c r="L17" i="43"/>
  <c r="I17" i="43"/>
  <c r="K16" i="43"/>
  <c r="L16" i="43"/>
  <c r="I16" i="43"/>
  <c r="K15" i="43"/>
  <c r="I15" i="43"/>
  <c r="K14" i="43"/>
  <c r="I14" i="43"/>
  <c r="O18" i="43"/>
  <c r="M18" i="43"/>
  <c r="P18" i="43"/>
  <c r="O17" i="43"/>
  <c r="M17" i="43"/>
  <c r="O16" i="43"/>
  <c r="M16" i="43"/>
  <c r="P16" i="43"/>
  <c r="I38" i="42"/>
  <c r="K38" i="42"/>
  <c r="I37" i="42"/>
  <c r="K37" i="42"/>
  <c r="I36" i="42"/>
  <c r="K36" i="42"/>
  <c r="I35" i="42"/>
  <c r="K35" i="42"/>
  <c r="I34" i="42"/>
  <c r="K34" i="42"/>
  <c r="I33" i="42"/>
  <c r="K33" i="42"/>
  <c r="I32" i="42"/>
  <c r="K32" i="42"/>
  <c r="I31" i="42"/>
  <c r="K31" i="42"/>
  <c r="I30" i="42"/>
  <c r="K30" i="42"/>
  <c r="H29" i="42"/>
  <c r="G29" i="42"/>
  <c r="I28" i="42"/>
  <c r="K28" i="42"/>
  <c r="I27" i="42"/>
  <c r="K27" i="42"/>
  <c r="I26" i="42"/>
  <c r="K26" i="42"/>
  <c r="I25" i="42"/>
  <c r="K25" i="42"/>
  <c r="I24" i="42"/>
  <c r="K24" i="42"/>
  <c r="F24" i="42"/>
  <c r="K23" i="42"/>
  <c r="I23" i="42"/>
  <c r="K22" i="42"/>
  <c r="I22" i="42"/>
  <c r="K21" i="42"/>
  <c r="I21" i="42"/>
  <c r="F21" i="42"/>
  <c r="I20" i="42"/>
  <c r="K20" i="42"/>
  <c r="I19" i="42"/>
  <c r="K19" i="42"/>
  <c r="H18" i="42"/>
  <c r="G18" i="42"/>
  <c r="I17" i="42"/>
  <c r="K17" i="42"/>
  <c r="I16" i="42"/>
  <c r="K16" i="42"/>
  <c r="I15" i="42"/>
  <c r="K15" i="42"/>
  <c r="I14" i="42"/>
  <c r="K14" i="42"/>
  <c r="K48" i="41"/>
  <c r="I48" i="41"/>
  <c r="I47" i="41"/>
  <c r="K47" i="41"/>
  <c r="I46" i="41"/>
  <c r="K46" i="41"/>
  <c r="I45" i="41"/>
  <c r="K45" i="41"/>
  <c r="K44" i="41"/>
  <c r="I44" i="41"/>
  <c r="I43" i="41"/>
  <c r="K43" i="41"/>
  <c r="I42" i="41"/>
  <c r="K42" i="41"/>
  <c r="I41" i="41"/>
  <c r="K41" i="41"/>
  <c r="K40" i="41"/>
  <c r="I40" i="41"/>
  <c r="H39" i="41"/>
  <c r="G39" i="41"/>
  <c r="I38" i="41"/>
  <c r="K38" i="41"/>
  <c r="I37" i="41"/>
  <c r="K37" i="41"/>
  <c r="I36" i="41"/>
  <c r="K36" i="41"/>
  <c r="K35" i="41"/>
  <c r="I35" i="41"/>
  <c r="I34" i="41"/>
  <c r="K34" i="41"/>
  <c r="I33" i="41"/>
  <c r="K33" i="41"/>
  <c r="A33" i="41"/>
  <c r="A34" i="41"/>
  <c r="A35" i="41"/>
  <c r="A36" i="41"/>
  <c r="A37" i="41"/>
  <c r="A38" i="41"/>
  <c r="A40" i="41"/>
  <c r="A41" i="41"/>
  <c r="A42" i="41"/>
  <c r="A43" i="41"/>
  <c r="A44" i="41"/>
  <c r="A45" i="41"/>
  <c r="A46" i="41"/>
  <c r="A47" i="41"/>
  <c r="A48" i="41"/>
  <c r="I32" i="41"/>
  <c r="K32" i="41"/>
  <c r="H31" i="41"/>
  <c r="G31" i="41"/>
  <c r="I30" i="41"/>
  <c r="K30" i="41"/>
  <c r="F30" i="41"/>
  <c r="I29" i="41"/>
  <c r="K29" i="41"/>
  <c r="I28" i="41"/>
  <c r="K28" i="41"/>
  <c r="I27" i="41"/>
  <c r="K27" i="41"/>
  <c r="I26" i="41"/>
  <c r="K26" i="41"/>
  <c r="I25" i="41"/>
  <c r="K25" i="41"/>
  <c r="I24" i="41"/>
  <c r="K24" i="41"/>
  <c r="I23" i="41"/>
  <c r="K23" i="41"/>
  <c r="I22" i="41"/>
  <c r="K22" i="41"/>
  <c r="I21" i="41"/>
  <c r="K21" i="41"/>
  <c r="I20" i="41"/>
  <c r="K20" i="41"/>
  <c r="I19" i="41"/>
  <c r="K19" i="41"/>
  <c r="I18" i="41"/>
  <c r="K18" i="41"/>
  <c r="I17" i="41"/>
  <c r="K17" i="41"/>
  <c r="I16" i="41"/>
  <c r="K16" i="41"/>
  <c r="I15" i="41"/>
  <c r="K15" i="41"/>
  <c r="I14" i="41"/>
  <c r="K14" i="41"/>
  <c r="K74" i="38"/>
  <c r="I74" i="38"/>
  <c r="K51" i="38"/>
  <c r="I51" i="38"/>
  <c r="K40" i="38"/>
  <c r="I40" i="38"/>
  <c r="K31" i="38"/>
  <c r="I31" i="38"/>
  <c r="K26" i="38"/>
  <c r="P26" i="38"/>
  <c r="I26" i="38"/>
  <c r="K23" i="38"/>
  <c r="I23" i="38"/>
  <c r="P37" i="38"/>
  <c r="O37" i="38"/>
  <c r="N37" i="38"/>
  <c r="M37" i="38"/>
  <c r="L37" i="38"/>
  <c r="P36" i="38"/>
  <c r="O36" i="38"/>
  <c r="Q36" i="38"/>
  <c r="N36" i="38"/>
  <c r="M36" i="38"/>
  <c r="L36" i="38"/>
  <c r="P35" i="38"/>
  <c r="O35" i="38"/>
  <c r="N35" i="38"/>
  <c r="M35" i="38"/>
  <c r="L35" i="38"/>
  <c r="P34" i="38"/>
  <c r="O34" i="38"/>
  <c r="Q34" i="38"/>
  <c r="N34" i="38"/>
  <c r="M34" i="38"/>
  <c r="L34" i="38"/>
  <c r="P33" i="38"/>
  <c r="O33" i="38"/>
  <c r="N33" i="38"/>
  <c r="M33" i="38"/>
  <c r="L33" i="38"/>
  <c r="P32" i="38"/>
  <c r="O32" i="38"/>
  <c r="N32" i="38"/>
  <c r="M32" i="38"/>
  <c r="L32" i="38"/>
  <c r="P31" i="38"/>
  <c r="O31" i="38"/>
  <c r="N31" i="38"/>
  <c r="M31" i="38"/>
  <c r="L31" i="38"/>
  <c r="P30" i="38"/>
  <c r="O30" i="38"/>
  <c r="Q30" i="38"/>
  <c r="N30" i="38"/>
  <c r="M30" i="38"/>
  <c r="L30" i="38"/>
  <c r="P29" i="38"/>
  <c r="O29" i="38"/>
  <c r="N29" i="38"/>
  <c r="M29" i="38"/>
  <c r="L29" i="38"/>
  <c r="P28" i="38"/>
  <c r="O28" i="38"/>
  <c r="Q28" i="38"/>
  <c r="N28" i="38"/>
  <c r="M28" i="38"/>
  <c r="L28" i="38"/>
  <c r="P27" i="38"/>
  <c r="O27" i="38"/>
  <c r="N27" i="38"/>
  <c r="M27" i="38"/>
  <c r="L27" i="38"/>
  <c r="O26" i="38"/>
  <c r="N26" i="38"/>
  <c r="M26" i="38"/>
  <c r="P25" i="38"/>
  <c r="O25" i="38"/>
  <c r="N25" i="38"/>
  <c r="M25" i="38"/>
  <c r="L25" i="38"/>
  <c r="P24" i="38"/>
  <c r="O24" i="38"/>
  <c r="Q24" i="38"/>
  <c r="N24" i="38"/>
  <c r="M24" i="38"/>
  <c r="L24" i="38"/>
  <c r="P23" i="38"/>
  <c r="O23" i="38"/>
  <c r="N23" i="38"/>
  <c r="M23" i="38"/>
  <c r="L23" i="38"/>
  <c r="P22" i="38"/>
  <c r="O22" i="38"/>
  <c r="Q22" i="38"/>
  <c r="N22" i="38"/>
  <c r="M22" i="38"/>
  <c r="L22" i="38"/>
  <c r="P21" i="38"/>
  <c r="O21" i="38"/>
  <c r="N21" i="38"/>
  <c r="M21" i="38"/>
  <c r="L21" i="38"/>
  <c r="P20" i="38"/>
  <c r="O20" i="38"/>
  <c r="Q20" i="38"/>
  <c r="N20" i="38"/>
  <c r="M20" i="38"/>
  <c r="L20" i="38"/>
  <c r="P19" i="38"/>
  <c r="O19" i="38"/>
  <c r="N19" i="38"/>
  <c r="M19" i="38"/>
  <c r="L19" i="38"/>
  <c r="P18" i="38"/>
  <c r="O18" i="38"/>
  <c r="Q18" i="38"/>
  <c r="N18" i="38"/>
  <c r="M18" i="38"/>
  <c r="L18" i="38"/>
  <c r="I118" i="37"/>
  <c r="K118" i="37"/>
  <c r="I117" i="37"/>
  <c r="K117" i="37"/>
  <c r="I109" i="37"/>
  <c r="K109" i="37"/>
  <c r="I107" i="37"/>
  <c r="K107" i="37"/>
  <c r="I106" i="37"/>
  <c r="K106" i="37"/>
  <c r="I105" i="37"/>
  <c r="K105" i="37"/>
  <c r="I104" i="37"/>
  <c r="K104" i="37"/>
  <c r="I95" i="37"/>
  <c r="K95" i="37"/>
  <c r="I94" i="37"/>
  <c r="K94" i="37"/>
  <c r="I77" i="37"/>
  <c r="K77" i="37"/>
  <c r="I71" i="37"/>
  <c r="K71" i="37"/>
  <c r="I70" i="37"/>
  <c r="K70" i="37"/>
  <c r="I64" i="37"/>
  <c r="K64" i="37"/>
  <c r="I63" i="37"/>
  <c r="K63" i="37"/>
  <c r="I60" i="37"/>
  <c r="K60" i="37"/>
  <c r="I59" i="37"/>
  <c r="K59" i="37"/>
  <c r="I58" i="37"/>
  <c r="K58" i="37"/>
  <c r="I51" i="37"/>
  <c r="K51" i="37"/>
  <c r="I43" i="37"/>
  <c r="K43" i="37"/>
  <c r="I42" i="37"/>
  <c r="K42" i="37"/>
  <c r="I41" i="37"/>
  <c r="K41" i="37"/>
  <c r="I17" i="37"/>
  <c r="K17" i="37"/>
  <c r="P119" i="37"/>
  <c r="O119" i="37"/>
  <c r="N119" i="37"/>
  <c r="M119" i="37"/>
  <c r="L119" i="37"/>
  <c r="O118" i="37"/>
  <c r="N118" i="37"/>
  <c r="M118" i="37"/>
  <c r="O117" i="37"/>
  <c r="N117" i="37"/>
  <c r="M117" i="37"/>
  <c r="P116" i="37"/>
  <c r="O116" i="37"/>
  <c r="N116" i="37"/>
  <c r="M116" i="37"/>
  <c r="L116" i="37"/>
  <c r="P115" i="37"/>
  <c r="O115" i="37"/>
  <c r="N115" i="37"/>
  <c r="M115" i="37"/>
  <c r="L115" i="37"/>
  <c r="P114" i="37"/>
  <c r="O114" i="37"/>
  <c r="N114" i="37"/>
  <c r="M114" i="37"/>
  <c r="L114" i="37"/>
  <c r="P113" i="37"/>
  <c r="O113" i="37"/>
  <c r="N113" i="37"/>
  <c r="M113" i="37"/>
  <c r="L113" i="37"/>
  <c r="P112" i="37"/>
  <c r="O112" i="37"/>
  <c r="N112" i="37"/>
  <c r="M112" i="37"/>
  <c r="L112" i="37"/>
  <c r="P111" i="37"/>
  <c r="O111" i="37"/>
  <c r="N111" i="37"/>
  <c r="M111" i="37"/>
  <c r="L111" i="37"/>
  <c r="P110" i="37"/>
  <c r="O110" i="37"/>
  <c r="N110" i="37"/>
  <c r="M110" i="37"/>
  <c r="L110" i="37"/>
  <c r="O109" i="37"/>
  <c r="N109" i="37"/>
  <c r="M109" i="37"/>
  <c r="P108" i="37"/>
  <c r="O108" i="37"/>
  <c r="N108" i="37"/>
  <c r="M108" i="37"/>
  <c r="L108" i="37"/>
  <c r="O107" i="37"/>
  <c r="N107" i="37"/>
  <c r="M107" i="37"/>
  <c r="O106" i="37"/>
  <c r="N106" i="37"/>
  <c r="M106" i="37"/>
  <c r="O105" i="37"/>
  <c r="N105" i="37"/>
  <c r="M105" i="37"/>
  <c r="O104" i="37"/>
  <c r="N104" i="37"/>
  <c r="M104" i="37"/>
  <c r="P103" i="37"/>
  <c r="O103" i="37"/>
  <c r="N103" i="37"/>
  <c r="M103" i="37"/>
  <c r="L103" i="37"/>
  <c r="P102" i="37"/>
  <c r="O102" i="37"/>
  <c r="N102" i="37"/>
  <c r="M102" i="37"/>
  <c r="L102" i="37"/>
  <c r="P101" i="37"/>
  <c r="O101" i="37"/>
  <c r="N101" i="37"/>
  <c r="M101" i="37"/>
  <c r="L101" i="37"/>
  <c r="P100" i="37"/>
  <c r="O100" i="37"/>
  <c r="N100" i="37"/>
  <c r="M100" i="37"/>
  <c r="L100" i="37"/>
  <c r="P99" i="37"/>
  <c r="O99" i="37"/>
  <c r="N99" i="37"/>
  <c r="M99" i="37"/>
  <c r="L99" i="37"/>
  <c r="P98" i="37"/>
  <c r="O98" i="37"/>
  <c r="N98" i="37"/>
  <c r="M98" i="37"/>
  <c r="L98" i="37"/>
  <c r="P97" i="37"/>
  <c r="O97" i="37"/>
  <c r="N97" i="37"/>
  <c r="M97" i="37"/>
  <c r="L97" i="37"/>
  <c r="P96" i="37"/>
  <c r="O96" i="37"/>
  <c r="N96" i="37"/>
  <c r="M96" i="37"/>
  <c r="L96" i="37"/>
  <c r="O95" i="37"/>
  <c r="N95" i="37"/>
  <c r="M95" i="37"/>
  <c r="O94" i="37"/>
  <c r="N94" i="37"/>
  <c r="M94" i="37"/>
  <c r="P93" i="37"/>
  <c r="O93" i="37"/>
  <c r="N93" i="37"/>
  <c r="M93" i="37"/>
  <c r="L93" i="37"/>
  <c r="P92" i="37"/>
  <c r="O92" i="37"/>
  <c r="N92" i="37"/>
  <c r="M92" i="37"/>
  <c r="L92" i="37"/>
  <c r="P91" i="37"/>
  <c r="O91" i="37"/>
  <c r="N91" i="37"/>
  <c r="M91" i="37"/>
  <c r="L91" i="37"/>
  <c r="P90" i="37"/>
  <c r="O90" i="37"/>
  <c r="N90" i="37"/>
  <c r="M90" i="37"/>
  <c r="L90" i="37"/>
  <c r="P89" i="37"/>
  <c r="O89" i="37"/>
  <c r="N89" i="37"/>
  <c r="M89" i="37"/>
  <c r="L89" i="37"/>
  <c r="P88" i="37"/>
  <c r="O88" i="37"/>
  <c r="N88" i="37"/>
  <c r="M88" i="37"/>
  <c r="L88" i="37"/>
  <c r="P87" i="37"/>
  <c r="O87" i="37"/>
  <c r="N87" i="37"/>
  <c r="M87" i="37"/>
  <c r="L87" i="37"/>
  <c r="P86" i="37"/>
  <c r="O86" i="37"/>
  <c r="N86" i="37"/>
  <c r="M86" i="37"/>
  <c r="L86" i="37"/>
  <c r="P85" i="37"/>
  <c r="O85" i="37"/>
  <c r="N85" i="37"/>
  <c r="M85" i="37"/>
  <c r="L85" i="37"/>
  <c r="P84" i="37"/>
  <c r="O84" i="37"/>
  <c r="N84" i="37"/>
  <c r="M84" i="37"/>
  <c r="L84" i="37"/>
  <c r="P83" i="37"/>
  <c r="O83" i="37"/>
  <c r="N83" i="37"/>
  <c r="M83" i="37"/>
  <c r="L83" i="37"/>
  <c r="P82" i="37"/>
  <c r="O82" i="37"/>
  <c r="N82" i="37"/>
  <c r="M82" i="37"/>
  <c r="L82" i="37"/>
  <c r="P81" i="37"/>
  <c r="O81" i="37"/>
  <c r="N81" i="37"/>
  <c r="M81" i="37"/>
  <c r="L81" i="37"/>
  <c r="P80" i="37"/>
  <c r="O80" i="37"/>
  <c r="N80" i="37"/>
  <c r="M80" i="37"/>
  <c r="L80" i="37"/>
  <c r="P79" i="37"/>
  <c r="O79" i="37"/>
  <c r="N79" i="37"/>
  <c r="M79" i="37"/>
  <c r="L79" i="37"/>
  <c r="P78" i="37"/>
  <c r="O78" i="37"/>
  <c r="N78" i="37"/>
  <c r="M78" i="37"/>
  <c r="L78" i="37"/>
  <c r="O77" i="37"/>
  <c r="N77" i="37"/>
  <c r="M77" i="37"/>
  <c r="P76" i="37"/>
  <c r="O76" i="37"/>
  <c r="N76" i="37"/>
  <c r="M76" i="37"/>
  <c r="L76" i="37"/>
  <c r="P75" i="37"/>
  <c r="O75" i="37"/>
  <c r="N75" i="37"/>
  <c r="M75" i="37"/>
  <c r="L75" i="37"/>
  <c r="P74" i="37"/>
  <c r="O74" i="37"/>
  <c r="N74" i="37"/>
  <c r="M74" i="37"/>
  <c r="L74" i="37"/>
  <c r="P73" i="37"/>
  <c r="O73" i="37"/>
  <c r="N73" i="37"/>
  <c r="M73" i="37"/>
  <c r="L73" i="37"/>
  <c r="P72" i="37"/>
  <c r="O72" i="37"/>
  <c r="N72" i="37"/>
  <c r="M72" i="37"/>
  <c r="L72" i="37"/>
  <c r="O71" i="37"/>
  <c r="N71" i="37"/>
  <c r="M71" i="37"/>
  <c r="O70" i="37"/>
  <c r="N70" i="37"/>
  <c r="M70" i="37"/>
  <c r="P69" i="37"/>
  <c r="O69" i="37"/>
  <c r="N69" i="37"/>
  <c r="M69" i="37"/>
  <c r="L69" i="37"/>
  <c r="P68" i="37"/>
  <c r="O68" i="37"/>
  <c r="N68" i="37"/>
  <c r="M68" i="37"/>
  <c r="L68" i="37"/>
  <c r="P67" i="37"/>
  <c r="O67" i="37"/>
  <c r="N67" i="37"/>
  <c r="M67" i="37"/>
  <c r="L67" i="37"/>
  <c r="P66" i="37"/>
  <c r="O66" i="37"/>
  <c r="N66" i="37"/>
  <c r="M66" i="37"/>
  <c r="L66" i="37"/>
  <c r="P65" i="37"/>
  <c r="O65" i="37"/>
  <c r="N65" i="37"/>
  <c r="M65" i="37"/>
  <c r="L65" i="37"/>
  <c r="O64" i="37"/>
  <c r="N64" i="37"/>
  <c r="M64" i="37"/>
  <c r="O63" i="37"/>
  <c r="N63" i="37"/>
  <c r="M63" i="37"/>
  <c r="P62" i="37"/>
  <c r="O62" i="37"/>
  <c r="Q62" i="37"/>
  <c r="N62" i="37"/>
  <c r="M62" i="37"/>
  <c r="L62" i="37"/>
  <c r="P61" i="37"/>
  <c r="O61" i="37"/>
  <c r="N61" i="37"/>
  <c r="M61" i="37"/>
  <c r="L61" i="37"/>
  <c r="O60" i="37"/>
  <c r="N60" i="37"/>
  <c r="M60" i="37"/>
  <c r="O59" i="37"/>
  <c r="N59" i="37"/>
  <c r="M59" i="37"/>
  <c r="O58" i="37"/>
  <c r="N58" i="37"/>
  <c r="M58" i="37"/>
  <c r="P57" i="37"/>
  <c r="O57" i="37"/>
  <c r="N57" i="37"/>
  <c r="M57" i="37"/>
  <c r="L57" i="37"/>
  <c r="P56" i="37"/>
  <c r="O56" i="37"/>
  <c r="Q56" i="37"/>
  <c r="N56" i="37"/>
  <c r="M56" i="37"/>
  <c r="L56" i="37"/>
  <c r="P55" i="37"/>
  <c r="O55" i="37"/>
  <c r="N55" i="37"/>
  <c r="M55" i="37"/>
  <c r="L55" i="37"/>
  <c r="P54" i="37"/>
  <c r="O54" i="37"/>
  <c r="Q54" i="37"/>
  <c r="N54" i="37"/>
  <c r="M54" i="37"/>
  <c r="L54" i="37"/>
  <c r="P53" i="37"/>
  <c r="O53" i="37"/>
  <c r="N53" i="37"/>
  <c r="M53" i="37"/>
  <c r="L53" i="37"/>
  <c r="P52" i="37"/>
  <c r="O52" i="37"/>
  <c r="Q52" i="37"/>
  <c r="N52" i="37"/>
  <c r="M52" i="37"/>
  <c r="L52" i="37"/>
  <c r="O51" i="37"/>
  <c r="N51" i="37"/>
  <c r="M51" i="37"/>
  <c r="P50" i="37"/>
  <c r="O50" i="37"/>
  <c r="Q50" i="37"/>
  <c r="N50" i="37"/>
  <c r="M50" i="37"/>
  <c r="L50" i="37"/>
  <c r="P49" i="37"/>
  <c r="O49" i="37"/>
  <c r="N49" i="37"/>
  <c r="M49" i="37"/>
  <c r="L49" i="37"/>
  <c r="P48" i="37"/>
  <c r="O48" i="37"/>
  <c r="Q48" i="37"/>
  <c r="N48" i="37"/>
  <c r="M48" i="37"/>
  <c r="L48" i="37"/>
  <c r="P47" i="37"/>
  <c r="O47" i="37"/>
  <c r="N47" i="37"/>
  <c r="M47" i="37"/>
  <c r="L47" i="37"/>
  <c r="P46" i="37"/>
  <c r="O46" i="37"/>
  <c r="Q46" i="37"/>
  <c r="N46" i="37"/>
  <c r="M46" i="37"/>
  <c r="L46" i="37"/>
  <c r="P45" i="37"/>
  <c r="O45" i="37"/>
  <c r="N45" i="37"/>
  <c r="M45" i="37"/>
  <c r="L45" i="37"/>
  <c r="P44" i="37"/>
  <c r="O44" i="37"/>
  <c r="Q44" i="37"/>
  <c r="N44" i="37"/>
  <c r="M44" i="37"/>
  <c r="L44" i="37"/>
  <c r="O43" i="37"/>
  <c r="N43" i="37"/>
  <c r="M43" i="37"/>
  <c r="O42" i="37"/>
  <c r="N42" i="37"/>
  <c r="M42" i="37"/>
  <c r="O41" i="37"/>
  <c r="N41" i="37"/>
  <c r="M41" i="37"/>
  <c r="P40" i="37"/>
  <c r="O40" i="37"/>
  <c r="Q40" i="37"/>
  <c r="N40" i="37"/>
  <c r="M40" i="37"/>
  <c r="L40" i="37"/>
  <c r="P39" i="37"/>
  <c r="O39" i="37"/>
  <c r="N39" i="37"/>
  <c r="M39" i="37"/>
  <c r="L39" i="37"/>
  <c r="P38" i="37"/>
  <c r="O38" i="37"/>
  <c r="Q38" i="37"/>
  <c r="N38" i="37"/>
  <c r="M38" i="37"/>
  <c r="L38" i="37"/>
  <c r="P37" i="37"/>
  <c r="O37" i="37"/>
  <c r="N37" i="37"/>
  <c r="Q37" i="37"/>
  <c r="M37" i="37"/>
  <c r="L37" i="37"/>
  <c r="P36" i="37"/>
  <c r="O36" i="37"/>
  <c r="Q36" i="37"/>
  <c r="N36" i="37"/>
  <c r="M36" i="37"/>
  <c r="L36" i="37"/>
  <c r="P35" i="37"/>
  <c r="O35" i="37"/>
  <c r="N35" i="37"/>
  <c r="M35" i="37"/>
  <c r="L35" i="37"/>
  <c r="P34" i="37"/>
  <c r="O34" i="37"/>
  <c r="Q34" i="37"/>
  <c r="N34" i="37"/>
  <c r="M34" i="37"/>
  <c r="L34" i="37"/>
  <c r="P33" i="37"/>
  <c r="O33" i="37"/>
  <c r="N33" i="37"/>
  <c r="Q33" i="37"/>
  <c r="M33" i="37"/>
  <c r="L33" i="37"/>
  <c r="P32" i="37"/>
  <c r="O32" i="37"/>
  <c r="Q32" i="37"/>
  <c r="N32" i="37"/>
  <c r="M32" i="37"/>
  <c r="L32" i="37"/>
  <c r="P31" i="37"/>
  <c r="O31" i="37"/>
  <c r="N31" i="37"/>
  <c r="M31" i="37"/>
  <c r="L31" i="37"/>
  <c r="P30" i="37"/>
  <c r="O30" i="37"/>
  <c r="Q30" i="37"/>
  <c r="N30" i="37"/>
  <c r="M30" i="37"/>
  <c r="L30" i="37"/>
  <c r="P29" i="37"/>
  <c r="O29" i="37"/>
  <c r="N29" i="37"/>
  <c r="M29" i="37"/>
  <c r="L29" i="37"/>
  <c r="P28" i="37"/>
  <c r="O28" i="37"/>
  <c r="Q28" i="37"/>
  <c r="N28" i="37"/>
  <c r="M28" i="37"/>
  <c r="L28" i="37"/>
  <c r="P27" i="37"/>
  <c r="O27" i="37"/>
  <c r="N27" i="37"/>
  <c r="M27" i="37"/>
  <c r="L27" i="37"/>
  <c r="P26" i="37"/>
  <c r="O26" i="37"/>
  <c r="Q26" i="37"/>
  <c r="N26" i="37"/>
  <c r="M26" i="37"/>
  <c r="L26" i="37"/>
  <c r="P25" i="37"/>
  <c r="O25" i="37"/>
  <c r="N25" i="37"/>
  <c r="M25" i="37"/>
  <c r="L25" i="37"/>
  <c r="P24" i="37"/>
  <c r="O24" i="37"/>
  <c r="Q24" i="37"/>
  <c r="N24" i="37"/>
  <c r="M24" i="37"/>
  <c r="L24" i="37"/>
  <c r="P23" i="37"/>
  <c r="O23" i="37"/>
  <c r="N23" i="37"/>
  <c r="M23" i="37"/>
  <c r="L23" i="37"/>
  <c r="P22" i="37"/>
  <c r="O22" i="37"/>
  <c r="Q22" i="37"/>
  <c r="N22" i="37"/>
  <c r="M22" i="37"/>
  <c r="L22" i="37"/>
  <c r="P21" i="37"/>
  <c r="O21" i="37"/>
  <c r="N21" i="37"/>
  <c r="M21" i="37"/>
  <c r="L21" i="37"/>
  <c r="P20" i="37"/>
  <c r="O20" i="37"/>
  <c r="Q20" i="37"/>
  <c r="N20" i="37"/>
  <c r="M20" i="37"/>
  <c r="L20" i="37"/>
  <c r="P19" i="37"/>
  <c r="O19" i="37"/>
  <c r="N19" i="37"/>
  <c r="M19" i="37"/>
  <c r="L19" i="37"/>
  <c r="P18" i="37"/>
  <c r="O18" i="37"/>
  <c r="Q18" i="37"/>
  <c r="N18" i="37"/>
  <c r="M18" i="37"/>
  <c r="L18" i="37"/>
  <c r="O17" i="37"/>
  <c r="N17" i="37"/>
  <c r="M17" i="37"/>
  <c r="P16" i="37"/>
  <c r="O16" i="37"/>
  <c r="Q16" i="37"/>
  <c r="N16" i="37"/>
  <c r="M16" i="37"/>
  <c r="L16" i="37"/>
  <c r="P15" i="37"/>
  <c r="O15" i="37"/>
  <c r="N15" i="37"/>
  <c r="M15" i="37"/>
  <c r="L15" i="37"/>
  <c r="K103" i="36"/>
  <c r="K102" i="36"/>
  <c r="K101" i="36"/>
  <c r="K100" i="36"/>
  <c r="K99" i="36"/>
  <c r="K98" i="36"/>
  <c r="K97" i="36"/>
  <c r="K96" i="36"/>
  <c r="K95" i="36"/>
  <c r="K94" i="36"/>
  <c r="K93" i="36"/>
  <c r="K92" i="36"/>
  <c r="K91" i="36"/>
  <c r="K90" i="36"/>
  <c r="K89" i="36"/>
  <c r="K88" i="36"/>
  <c r="K87" i="36"/>
  <c r="K86" i="36"/>
  <c r="K85" i="36"/>
  <c r="K84" i="36"/>
  <c r="K83" i="36"/>
  <c r="K82" i="36"/>
  <c r="K81" i="36"/>
  <c r="K80" i="36"/>
  <c r="K79" i="36"/>
  <c r="K78" i="36"/>
  <c r="K77" i="36"/>
  <c r="I76" i="36"/>
  <c r="K76" i="36"/>
  <c r="K75" i="36"/>
  <c r="K74" i="36"/>
  <c r="K73" i="36"/>
  <c r="K72" i="36"/>
  <c r="I71" i="36"/>
  <c r="K71" i="36"/>
  <c r="K70" i="36"/>
  <c r="K69" i="36"/>
  <c r="K68" i="36"/>
  <c r="K67" i="36"/>
  <c r="K66" i="36"/>
  <c r="K65" i="36"/>
  <c r="K64" i="36"/>
  <c r="K63" i="36"/>
  <c r="K62" i="36"/>
  <c r="K61" i="36"/>
  <c r="K60" i="36"/>
  <c r="K59" i="36"/>
  <c r="K58" i="36"/>
  <c r="K57" i="36"/>
  <c r="K56" i="36"/>
  <c r="K55" i="36"/>
  <c r="K54" i="36"/>
  <c r="K53" i="36"/>
  <c r="K52" i="36"/>
  <c r="K51" i="36"/>
  <c r="K50" i="36"/>
  <c r="K49" i="36"/>
  <c r="K48" i="36"/>
  <c r="K47" i="36"/>
  <c r="K46" i="36"/>
  <c r="K45" i="36"/>
  <c r="K44" i="36"/>
  <c r="K43" i="36"/>
  <c r="K42" i="36"/>
  <c r="K41" i="36"/>
  <c r="K40" i="36"/>
  <c r="K39" i="36"/>
  <c r="I38" i="36"/>
  <c r="K38" i="36"/>
  <c r="I37" i="36"/>
  <c r="K37" i="36"/>
  <c r="I36" i="36"/>
  <c r="K36" i="36"/>
  <c r="K35" i="36"/>
  <c r="K34" i="36"/>
  <c r="K33" i="36"/>
  <c r="K32" i="36"/>
  <c r="K31" i="36"/>
  <c r="K30" i="36"/>
  <c r="K29" i="36"/>
  <c r="K28" i="36"/>
  <c r="K27" i="36"/>
  <c r="K26" i="36"/>
  <c r="K25" i="36"/>
  <c r="K24" i="36"/>
  <c r="K23" i="36"/>
  <c r="K22" i="36"/>
  <c r="K21" i="36"/>
  <c r="K20" i="36"/>
  <c r="K19" i="36"/>
  <c r="K18" i="36"/>
  <c r="K17" i="36"/>
  <c r="K16" i="36"/>
  <c r="K15" i="36"/>
  <c r="I14" i="36"/>
  <c r="K14" i="36"/>
  <c r="Q97" i="69"/>
  <c r="K44" i="60"/>
  <c r="O40" i="60"/>
  <c r="P40" i="60"/>
  <c r="O36" i="60"/>
  <c r="P36" i="60"/>
  <c r="O32" i="60"/>
  <c r="P32" i="60"/>
  <c r="O28" i="60"/>
  <c r="P28" i="60"/>
  <c r="O24" i="60"/>
  <c r="P24" i="60"/>
  <c r="O20" i="60"/>
  <c r="P20" i="60"/>
  <c r="K43" i="60"/>
  <c r="P41" i="60"/>
  <c r="O39" i="60"/>
  <c r="P39" i="60"/>
  <c r="O35" i="60"/>
  <c r="P35" i="60"/>
  <c r="O31" i="60"/>
  <c r="P31" i="60"/>
  <c r="O27" i="60"/>
  <c r="P27" i="60"/>
  <c r="O23" i="60"/>
  <c r="P23" i="60"/>
  <c r="O19" i="60"/>
  <c r="P19" i="60"/>
  <c r="P44" i="60"/>
  <c r="O42" i="60"/>
  <c r="P42" i="60"/>
  <c r="O38" i="60"/>
  <c r="P38" i="60"/>
  <c r="O34" i="60"/>
  <c r="P34" i="60"/>
  <c r="O30" i="60"/>
  <c r="P30" i="60"/>
  <c r="O26" i="60"/>
  <c r="P26" i="60"/>
  <c r="O22" i="60"/>
  <c r="P22" i="60"/>
  <c r="O18" i="60"/>
  <c r="P18" i="60"/>
  <c r="P43" i="60"/>
  <c r="O37" i="60"/>
  <c r="P37" i="60"/>
  <c r="O33" i="60"/>
  <c r="P33" i="60"/>
  <c r="O29" i="60"/>
  <c r="P29" i="60"/>
  <c r="O25" i="60"/>
  <c r="P25" i="60"/>
  <c r="O21" i="60"/>
  <c r="P21" i="60"/>
  <c r="O17" i="60"/>
  <c r="P17" i="60"/>
  <c r="E49" i="59"/>
  <c r="E48" i="59"/>
  <c r="P17" i="43"/>
  <c r="N16" i="43"/>
  <c r="Q16" i="43"/>
  <c r="N17" i="43"/>
  <c r="Q17" i="43"/>
  <c r="N18" i="43"/>
  <c r="Q18" i="43"/>
  <c r="L26" i="38"/>
  <c r="Q26" i="38"/>
  <c r="Q32" i="38"/>
  <c r="Q19" i="38"/>
  <c r="Q23" i="38"/>
  <c r="Q27" i="38"/>
  <c r="Q31" i="38"/>
  <c r="Q35" i="38"/>
  <c r="Q21" i="38"/>
  <c r="Q25" i="38"/>
  <c r="Q29" i="38"/>
  <c r="Q33" i="38"/>
  <c r="Q37" i="38"/>
  <c r="P42" i="37"/>
  <c r="L42" i="37"/>
  <c r="P59" i="37"/>
  <c r="L59" i="37"/>
  <c r="P70" i="37"/>
  <c r="L70" i="37"/>
  <c r="P95" i="37"/>
  <c r="L95" i="37"/>
  <c r="P107" i="37"/>
  <c r="L107" i="37"/>
  <c r="P43" i="37"/>
  <c r="L43" i="37"/>
  <c r="P60" i="37"/>
  <c r="L60" i="37"/>
  <c r="P71" i="37"/>
  <c r="L71" i="37"/>
  <c r="P104" i="37"/>
  <c r="L104" i="37"/>
  <c r="P109" i="37"/>
  <c r="L109" i="37"/>
  <c r="L17" i="37"/>
  <c r="P17" i="37"/>
  <c r="P51" i="37"/>
  <c r="L51" i="37"/>
  <c r="P63" i="37"/>
  <c r="L63" i="37"/>
  <c r="P77" i="37"/>
  <c r="L77" i="37"/>
  <c r="P105" i="37"/>
  <c r="L105" i="37"/>
  <c r="P117" i="37"/>
  <c r="L117" i="37"/>
  <c r="P41" i="37"/>
  <c r="L41" i="37"/>
  <c r="P58" i="37"/>
  <c r="Q58" i="37"/>
  <c r="L58" i="37"/>
  <c r="P64" i="37"/>
  <c r="Q64" i="37"/>
  <c r="L64" i="37"/>
  <c r="P94" i="37"/>
  <c r="L94" i="37"/>
  <c r="P106" i="37"/>
  <c r="L106" i="37"/>
  <c r="P118" i="37"/>
  <c r="L118" i="37"/>
  <c r="Q60" i="37"/>
  <c r="Q68" i="37"/>
  <c r="Q72" i="37"/>
  <c r="Q76" i="37"/>
  <c r="Q80" i="37"/>
  <c r="Q84" i="37"/>
  <c r="Q101" i="37"/>
  <c r="Q105" i="37"/>
  <c r="Q117" i="37"/>
  <c r="Q42" i="37"/>
  <c r="Q66" i="37"/>
  <c r="Q70" i="37"/>
  <c r="Q74" i="37"/>
  <c r="Q78" i="37"/>
  <c r="Q82" i="37"/>
  <c r="Q115" i="37"/>
  <c r="Q119" i="37"/>
  <c r="Q109" i="37"/>
  <c r="Q17" i="37"/>
  <c r="Q21" i="37"/>
  <c r="Q25" i="37"/>
  <c r="Q29" i="37"/>
  <c r="Q41" i="37"/>
  <c r="Q45" i="37"/>
  <c r="Q49" i="37"/>
  <c r="Q53" i="37"/>
  <c r="Q57" i="37"/>
  <c r="Q61" i="37"/>
  <c r="Q65" i="37"/>
  <c r="Q69" i="37"/>
  <c r="Q73" i="37"/>
  <c r="Q77" i="37"/>
  <c r="Q81" i="37"/>
  <c r="Q85" i="37"/>
  <c r="Q86" i="37"/>
  <c r="Q89" i="37"/>
  <c r="Q90" i="37"/>
  <c r="Q93" i="37"/>
  <c r="Q94" i="37"/>
  <c r="Q97" i="37"/>
  <c r="Q98" i="37"/>
  <c r="Q102" i="37"/>
  <c r="Q106" i="37"/>
  <c r="Q110" i="37"/>
  <c r="Q114" i="37"/>
  <c r="Q118" i="37"/>
  <c r="Q35" i="37"/>
  <c r="Q39" i="37"/>
  <c r="Q99" i="37"/>
  <c r="Q103" i="37"/>
  <c r="Q107" i="37"/>
  <c r="Q111" i="37"/>
  <c r="Q15" i="37"/>
  <c r="Q19" i="37"/>
  <c r="Q23" i="37"/>
  <c r="Q27" i="37"/>
  <c r="Q31" i="37"/>
  <c r="Q43" i="37"/>
  <c r="Q47" i="37"/>
  <c r="Q51" i="37"/>
  <c r="Q55" i="37"/>
  <c r="Q59" i="37"/>
  <c r="Q63" i="37"/>
  <c r="Q67" i="37"/>
  <c r="Q71" i="37"/>
  <c r="Q75" i="37"/>
  <c r="Q79" i="37"/>
  <c r="Q83" i="37"/>
  <c r="Q87" i="37"/>
  <c r="Q88" i="37"/>
  <c r="Q91" i="37"/>
  <c r="Q92" i="37"/>
  <c r="Q95" i="37"/>
  <c r="Q96" i="37"/>
  <c r="Q100" i="37"/>
  <c r="Q104" i="37"/>
  <c r="Q108" i="37"/>
  <c r="Q112" i="37"/>
  <c r="Q116" i="37"/>
  <c r="Q113" i="37"/>
  <c r="H88" i="14"/>
  <c r="M88" i="14"/>
  <c r="N88" i="14"/>
  <c r="O88" i="14"/>
  <c r="P88" i="14"/>
  <c r="L88" i="14"/>
  <c r="K88" i="14"/>
  <c r="M87" i="14"/>
  <c r="I87" i="14"/>
  <c r="N87" i="14"/>
  <c r="O87" i="14"/>
  <c r="P87" i="14"/>
  <c r="L87" i="14"/>
  <c r="K87" i="14"/>
  <c r="E86" i="14"/>
  <c r="M86" i="14"/>
  <c r="N86" i="14"/>
  <c r="O86" i="14"/>
  <c r="P86" i="14"/>
  <c r="L86" i="14"/>
  <c r="K86" i="14"/>
  <c r="M85" i="14"/>
  <c r="N85" i="14"/>
  <c r="O85" i="14"/>
  <c r="P85" i="14"/>
  <c r="F85" i="14"/>
  <c r="L85" i="14"/>
  <c r="K85" i="14"/>
  <c r="H84" i="14"/>
  <c r="M84" i="14"/>
  <c r="N84" i="14"/>
  <c r="O84" i="14"/>
  <c r="P84" i="14"/>
  <c r="L84" i="14"/>
  <c r="K84" i="14"/>
  <c r="H83" i="14"/>
  <c r="M83" i="14"/>
  <c r="N83" i="14"/>
  <c r="O83" i="14"/>
  <c r="P83" i="14"/>
  <c r="L83" i="14"/>
  <c r="K83" i="14"/>
  <c r="H82" i="14"/>
  <c r="E80" i="14"/>
  <c r="E82" i="14"/>
  <c r="M82" i="14"/>
  <c r="N82" i="14"/>
  <c r="O82" i="14"/>
  <c r="P82" i="14"/>
  <c r="L82" i="14"/>
  <c r="K82" i="14"/>
  <c r="H81" i="14"/>
  <c r="E81" i="14"/>
  <c r="M81" i="14"/>
  <c r="N81" i="14"/>
  <c r="O81" i="14"/>
  <c r="P81" i="14"/>
  <c r="L81" i="14"/>
  <c r="K81" i="14"/>
  <c r="H80" i="14"/>
  <c r="M80" i="14"/>
  <c r="N80" i="14"/>
  <c r="O80" i="14"/>
  <c r="P80" i="14"/>
  <c r="L80" i="14"/>
  <c r="K80" i="14"/>
  <c r="H79" i="14"/>
  <c r="E77" i="14"/>
  <c r="E79" i="14"/>
  <c r="M79" i="14"/>
  <c r="N79" i="14"/>
  <c r="O79" i="14"/>
  <c r="P79" i="14"/>
  <c r="L79" i="14"/>
  <c r="K79" i="14"/>
  <c r="H78" i="14"/>
  <c r="E78" i="14"/>
  <c r="M78" i="14"/>
  <c r="N78" i="14"/>
  <c r="O78" i="14"/>
  <c r="P78" i="14"/>
  <c r="L78" i="14"/>
  <c r="K78" i="14"/>
  <c r="H77" i="14"/>
  <c r="M77" i="14"/>
  <c r="N77" i="14"/>
  <c r="O77" i="14"/>
  <c r="P77" i="14"/>
  <c r="L77" i="14"/>
  <c r="K77" i="14"/>
  <c r="H76" i="14"/>
  <c r="M76" i="14"/>
  <c r="E74" i="14"/>
  <c r="I76" i="14"/>
  <c r="N76" i="14"/>
  <c r="O76" i="14"/>
  <c r="P76" i="14"/>
  <c r="L76" i="14"/>
  <c r="K76" i="14"/>
  <c r="H75" i="14"/>
  <c r="E75" i="14"/>
  <c r="M75" i="14"/>
  <c r="N75" i="14"/>
  <c r="O75" i="14"/>
  <c r="P75" i="14"/>
  <c r="L75" i="14"/>
  <c r="K75" i="14"/>
  <c r="H74" i="14"/>
  <c r="M74" i="14"/>
  <c r="N74" i="14"/>
  <c r="O74" i="14"/>
  <c r="P74" i="14"/>
  <c r="L74" i="14"/>
  <c r="K74" i="14"/>
  <c r="H73" i="14"/>
  <c r="M73" i="14"/>
  <c r="N73" i="14"/>
  <c r="O73" i="14"/>
  <c r="P73" i="14"/>
  <c r="L73" i="14"/>
  <c r="K73" i="14"/>
  <c r="H72" i="14"/>
  <c r="E72" i="14"/>
  <c r="M72" i="14"/>
  <c r="N72" i="14"/>
  <c r="O72" i="14"/>
  <c r="P72" i="14"/>
  <c r="L72" i="14"/>
  <c r="K72" i="14"/>
  <c r="E62" i="14"/>
  <c r="E59" i="14"/>
  <c r="E56" i="14"/>
  <c r="E54" i="14"/>
  <c r="H70" i="14"/>
  <c r="M70" i="14"/>
  <c r="N70" i="14"/>
  <c r="O70" i="14"/>
  <c r="P70" i="14"/>
  <c r="L70" i="14"/>
  <c r="K70" i="14"/>
  <c r="M69" i="14"/>
  <c r="I69" i="14"/>
  <c r="N69" i="14"/>
  <c r="O69" i="14"/>
  <c r="P69" i="14"/>
  <c r="L69" i="14"/>
  <c r="K69" i="14"/>
  <c r="E68" i="14"/>
  <c r="M68" i="14"/>
  <c r="N68" i="14"/>
  <c r="O68" i="14"/>
  <c r="P68" i="14"/>
  <c r="L68" i="14"/>
  <c r="K68" i="14"/>
  <c r="M67" i="14"/>
  <c r="N67" i="14"/>
  <c r="O67" i="14"/>
  <c r="P67" i="14"/>
  <c r="F67" i="14"/>
  <c r="L67" i="14"/>
  <c r="K67" i="14"/>
  <c r="H66" i="14"/>
  <c r="M66" i="14"/>
  <c r="N66" i="14"/>
  <c r="O66" i="14"/>
  <c r="P66" i="14"/>
  <c r="L66" i="14"/>
  <c r="K66" i="14"/>
  <c r="H65" i="14"/>
  <c r="M65" i="14"/>
  <c r="N65" i="14"/>
  <c r="O65" i="14"/>
  <c r="P65" i="14"/>
  <c r="L65" i="14"/>
  <c r="K65" i="14"/>
  <c r="H64" i="14"/>
  <c r="E64" i="14"/>
  <c r="M64" i="14"/>
  <c r="N64" i="14"/>
  <c r="O64" i="14"/>
  <c r="P64" i="14"/>
  <c r="L64" i="14"/>
  <c r="K64" i="14"/>
  <c r="H63" i="14"/>
  <c r="E63" i="14"/>
  <c r="M63" i="14"/>
  <c r="N63" i="14"/>
  <c r="O63" i="14"/>
  <c r="P63" i="14"/>
  <c r="L63" i="14"/>
  <c r="K63" i="14"/>
  <c r="H62" i="14"/>
  <c r="M62" i="14"/>
  <c r="N62" i="14"/>
  <c r="O62" i="14"/>
  <c r="P62" i="14"/>
  <c r="L62" i="14"/>
  <c r="K62" i="14"/>
  <c r="H61" i="14"/>
  <c r="E61" i="14"/>
  <c r="M61" i="14"/>
  <c r="N61" i="14"/>
  <c r="O61" i="14"/>
  <c r="P61" i="14"/>
  <c r="L61" i="14"/>
  <c r="K61" i="14"/>
  <c r="H60" i="14"/>
  <c r="E60" i="14"/>
  <c r="M60" i="14"/>
  <c r="N60" i="14"/>
  <c r="O60" i="14"/>
  <c r="P60" i="14"/>
  <c r="L60" i="14"/>
  <c r="K60" i="14"/>
  <c r="H59" i="14"/>
  <c r="M59" i="14"/>
  <c r="N59" i="14"/>
  <c r="O59" i="14"/>
  <c r="P59" i="14"/>
  <c r="L59" i="14"/>
  <c r="K59" i="14"/>
  <c r="H58" i="14"/>
  <c r="M58" i="14"/>
  <c r="I58" i="14"/>
  <c r="N58" i="14"/>
  <c r="O58" i="14"/>
  <c r="P58" i="14"/>
  <c r="L58" i="14"/>
  <c r="K58" i="14"/>
  <c r="H57" i="14"/>
  <c r="E57" i="14"/>
  <c r="M57" i="14"/>
  <c r="N57" i="14"/>
  <c r="O57" i="14"/>
  <c r="P57" i="14"/>
  <c r="L57" i="14"/>
  <c r="K57" i="14"/>
  <c r="H56" i="14"/>
  <c r="M56" i="14"/>
  <c r="N56" i="14"/>
  <c r="O56" i="14"/>
  <c r="P56" i="14"/>
  <c r="L56" i="14"/>
  <c r="K56" i="14"/>
  <c r="H55" i="14"/>
  <c r="M55" i="14"/>
  <c r="N55" i="14"/>
  <c r="O55" i="14"/>
  <c r="P55" i="14"/>
  <c r="L55" i="14"/>
  <c r="K55" i="14"/>
  <c r="H54" i="14"/>
  <c r="M54" i="14"/>
  <c r="N54" i="14"/>
  <c r="O54" i="14"/>
  <c r="P54" i="14"/>
  <c r="L54" i="14"/>
  <c r="K54" i="14"/>
  <c r="H51" i="14"/>
  <c r="M51" i="14"/>
  <c r="N51" i="14"/>
  <c r="O51" i="14"/>
  <c r="P51" i="14"/>
  <c r="L51" i="14"/>
  <c r="K51" i="14"/>
  <c r="E28" i="14"/>
  <c r="E27" i="14"/>
  <c r="E24" i="14"/>
  <c r="E21" i="14"/>
  <c r="E18" i="14"/>
  <c r="E16" i="14"/>
  <c r="M50" i="14"/>
  <c r="I50" i="14"/>
  <c r="N50" i="14"/>
  <c r="O50" i="14"/>
  <c r="P50" i="14"/>
  <c r="L50" i="14"/>
  <c r="K50" i="14"/>
  <c r="E49" i="14"/>
  <c r="M49" i="14"/>
  <c r="N49" i="14"/>
  <c r="O49" i="14"/>
  <c r="P49" i="14"/>
  <c r="L49" i="14"/>
  <c r="K49" i="14"/>
  <c r="M48" i="14"/>
  <c r="N48" i="14"/>
  <c r="O48" i="14"/>
  <c r="P48" i="14"/>
  <c r="F48" i="14"/>
  <c r="L48" i="14"/>
  <c r="K48" i="14"/>
  <c r="H47" i="14"/>
  <c r="M47" i="14"/>
  <c r="N47" i="14"/>
  <c r="O47" i="14"/>
  <c r="P47" i="14"/>
  <c r="L47" i="14"/>
  <c r="K47" i="14"/>
  <c r="H46" i="14"/>
  <c r="M46" i="14"/>
  <c r="N46" i="14"/>
  <c r="O46" i="14"/>
  <c r="P46" i="14"/>
  <c r="L46" i="14"/>
  <c r="K46" i="14"/>
  <c r="H45" i="14"/>
  <c r="E45" i="14"/>
  <c r="M45" i="14"/>
  <c r="N45" i="14"/>
  <c r="O45" i="14"/>
  <c r="P45" i="14"/>
  <c r="L45" i="14"/>
  <c r="K45" i="14"/>
  <c r="H44" i="14"/>
  <c r="E44" i="14"/>
  <c r="M44" i="14"/>
  <c r="N44" i="14"/>
  <c r="O44" i="14"/>
  <c r="P44" i="14"/>
  <c r="L44" i="14"/>
  <c r="K44" i="14"/>
  <c r="H43" i="14"/>
  <c r="M43" i="14"/>
  <c r="N43" i="14"/>
  <c r="O43" i="14"/>
  <c r="P43" i="14"/>
  <c r="L43" i="14"/>
  <c r="K43" i="14"/>
  <c r="H42" i="14"/>
  <c r="E42" i="14"/>
  <c r="M42" i="14"/>
  <c r="N42" i="14"/>
  <c r="O42" i="14"/>
  <c r="P42" i="14"/>
  <c r="L42" i="14"/>
  <c r="K42" i="14"/>
  <c r="H41" i="14"/>
  <c r="E41" i="14"/>
  <c r="M41" i="14"/>
  <c r="N41" i="14"/>
  <c r="O41" i="14"/>
  <c r="P41" i="14"/>
  <c r="L41" i="14"/>
  <c r="K41" i="14"/>
  <c r="H40" i="14"/>
  <c r="M40" i="14"/>
  <c r="N40" i="14"/>
  <c r="O40" i="14"/>
  <c r="P40" i="14"/>
  <c r="L40" i="14"/>
  <c r="K40" i="14"/>
  <c r="H39" i="14"/>
  <c r="M39" i="14"/>
  <c r="I39" i="14"/>
  <c r="N39" i="14"/>
  <c r="O39" i="14"/>
  <c r="P39" i="14"/>
  <c r="L39" i="14"/>
  <c r="K39" i="14"/>
  <c r="H38" i="14"/>
  <c r="E38" i="14"/>
  <c r="M38" i="14"/>
  <c r="N38" i="14"/>
  <c r="O38" i="14"/>
  <c r="P38" i="14"/>
  <c r="L38" i="14"/>
  <c r="K38" i="14"/>
  <c r="H37" i="14"/>
  <c r="M37" i="14"/>
  <c r="N37" i="14"/>
  <c r="O37" i="14"/>
  <c r="P37" i="14"/>
  <c r="L37" i="14"/>
  <c r="K37" i="14"/>
  <c r="H36" i="14"/>
  <c r="M36" i="14"/>
  <c r="N36" i="14"/>
  <c r="O36" i="14"/>
  <c r="P36" i="14"/>
  <c r="L36" i="14"/>
  <c r="K36" i="14"/>
  <c r="H35" i="14"/>
  <c r="M35" i="14"/>
  <c r="N35" i="14"/>
  <c r="O35" i="14"/>
  <c r="P35" i="14"/>
  <c r="L35" i="14"/>
  <c r="K35" i="14"/>
  <c r="M32" i="14"/>
  <c r="I32" i="14"/>
  <c r="N32" i="14"/>
  <c r="O32" i="14"/>
  <c r="P32" i="14"/>
  <c r="L32" i="14"/>
  <c r="K32" i="14"/>
  <c r="E31" i="14"/>
  <c r="M31" i="14"/>
  <c r="N31" i="14"/>
  <c r="O31" i="14"/>
  <c r="P31" i="14"/>
  <c r="L31" i="14"/>
  <c r="K31" i="14"/>
  <c r="M30" i="14"/>
  <c r="N30" i="14"/>
  <c r="O30" i="14"/>
  <c r="P30" i="14"/>
  <c r="F30" i="14"/>
  <c r="L30" i="14"/>
  <c r="K30" i="14"/>
  <c r="H29" i="14"/>
  <c r="M29" i="14"/>
  <c r="N29" i="14"/>
  <c r="O29" i="14"/>
  <c r="P29" i="14"/>
  <c r="L29" i="14"/>
  <c r="K29" i="14"/>
  <c r="H28" i="14"/>
  <c r="M28" i="14"/>
  <c r="N28" i="14"/>
  <c r="O28" i="14"/>
  <c r="P28" i="14"/>
  <c r="L28" i="14"/>
  <c r="K28" i="14"/>
  <c r="H27" i="14"/>
  <c r="M27" i="14"/>
  <c r="N27" i="14"/>
  <c r="O27" i="14"/>
  <c r="P27" i="14"/>
  <c r="L27" i="14"/>
  <c r="K27" i="14"/>
  <c r="H26" i="14"/>
  <c r="E26" i="14"/>
  <c r="M26" i="14"/>
  <c r="N26" i="14"/>
  <c r="O26" i="14"/>
  <c r="P26" i="14"/>
  <c r="L26" i="14"/>
  <c r="K26" i="14"/>
  <c r="H25" i="14"/>
  <c r="E25" i="14"/>
  <c r="M25" i="14"/>
  <c r="N25" i="14"/>
  <c r="O25" i="14"/>
  <c r="P25" i="14"/>
  <c r="L25" i="14"/>
  <c r="K25" i="14"/>
  <c r="H24" i="14"/>
  <c r="M24" i="14"/>
  <c r="N24" i="14"/>
  <c r="O24" i="14"/>
  <c r="P24" i="14"/>
  <c r="L24" i="14"/>
  <c r="K24" i="14"/>
  <c r="H23" i="14"/>
  <c r="E23" i="14"/>
  <c r="M23" i="14"/>
  <c r="N23" i="14"/>
  <c r="O23" i="14"/>
  <c r="P23" i="14"/>
  <c r="L23" i="14"/>
  <c r="K23" i="14"/>
  <c r="H22" i="14"/>
  <c r="E22" i="14"/>
  <c r="M22" i="14"/>
  <c r="N22" i="14"/>
  <c r="O22" i="14"/>
  <c r="P22" i="14"/>
  <c r="L22" i="14"/>
  <c r="K22" i="14"/>
  <c r="H21" i="14"/>
  <c r="M21" i="14"/>
  <c r="N21" i="14"/>
  <c r="O21" i="14"/>
  <c r="P21" i="14"/>
  <c r="L21" i="14"/>
  <c r="K21" i="14"/>
  <c r="H20" i="14"/>
  <c r="M20" i="14"/>
  <c r="I20" i="14"/>
  <c r="N20" i="14"/>
  <c r="O20" i="14"/>
  <c r="P20" i="14"/>
  <c r="L20" i="14"/>
  <c r="K20" i="14"/>
  <c r="H19" i="14"/>
  <c r="E19" i="14"/>
  <c r="M19" i="14"/>
  <c r="N19" i="14"/>
  <c r="O19" i="14"/>
  <c r="P19" i="14"/>
  <c r="L19" i="14"/>
  <c r="K19" i="14"/>
  <c r="H18" i="14"/>
  <c r="M18" i="14"/>
  <c r="N18" i="14"/>
  <c r="O18" i="14"/>
  <c r="P18" i="14"/>
  <c r="L18" i="14"/>
  <c r="K18" i="14"/>
  <c r="H17" i="14"/>
  <c r="M17" i="14"/>
  <c r="N17" i="14"/>
  <c r="O17" i="14"/>
  <c r="P17" i="14"/>
  <c r="L17" i="14"/>
  <c r="K17" i="14"/>
  <c r="H16" i="14"/>
  <c r="M16" i="14"/>
  <c r="N16" i="14"/>
  <c r="O16" i="14"/>
  <c r="P16" i="14"/>
  <c r="L16" i="14"/>
  <c r="K16" i="14"/>
  <c r="H86" i="66"/>
  <c r="M86" i="66"/>
  <c r="N86" i="66"/>
  <c r="O86" i="66"/>
  <c r="P86" i="66"/>
  <c r="L86" i="66"/>
  <c r="K86" i="66"/>
  <c r="H85" i="66"/>
  <c r="E82" i="66"/>
  <c r="E83" i="66"/>
  <c r="E84" i="66"/>
  <c r="E85" i="66"/>
  <c r="M85" i="66"/>
  <c r="N85" i="66"/>
  <c r="O85" i="66"/>
  <c r="P85" i="66"/>
  <c r="L85" i="66"/>
  <c r="K85" i="66"/>
  <c r="H84" i="66"/>
  <c r="M84" i="66"/>
  <c r="N84" i="66"/>
  <c r="O84" i="66"/>
  <c r="P84" i="66"/>
  <c r="L84" i="66"/>
  <c r="K84" i="66"/>
  <c r="H83" i="66"/>
  <c r="M83" i="66"/>
  <c r="N83" i="66"/>
  <c r="O83" i="66"/>
  <c r="P83" i="66"/>
  <c r="L83" i="66"/>
  <c r="K83" i="66"/>
  <c r="H82" i="66"/>
  <c r="M82" i="66"/>
  <c r="N82" i="66"/>
  <c r="J82" i="66"/>
  <c r="O82" i="66"/>
  <c r="P82" i="66"/>
  <c r="L82" i="66"/>
  <c r="K82" i="66"/>
  <c r="F81" i="66"/>
  <c r="H81" i="66"/>
  <c r="M81" i="66"/>
  <c r="N81" i="66"/>
  <c r="J81" i="66"/>
  <c r="O81" i="66"/>
  <c r="P81" i="66"/>
  <c r="L81" i="66"/>
  <c r="K81" i="66"/>
  <c r="E65" i="66"/>
  <c r="E56" i="66"/>
  <c r="H48" i="66"/>
  <c r="M48" i="66"/>
  <c r="N48" i="66"/>
  <c r="O48" i="66"/>
  <c r="P48" i="66"/>
  <c r="L48" i="66"/>
  <c r="K48" i="66"/>
  <c r="H45" i="66"/>
  <c r="M45" i="66"/>
  <c r="N45" i="66"/>
  <c r="O45" i="66"/>
  <c r="P45" i="66"/>
  <c r="L45" i="66"/>
  <c r="K45" i="66"/>
  <c r="E38" i="66"/>
  <c r="E18" i="66"/>
  <c r="E36" i="66"/>
  <c r="E35" i="66"/>
  <c r="E34" i="66"/>
  <c r="H31" i="66"/>
  <c r="H32" i="66"/>
  <c r="E29" i="66"/>
  <c r="E30" i="66"/>
  <c r="E31" i="66"/>
  <c r="E32" i="66"/>
  <c r="M32" i="66"/>
  <c r="N32" i="66"/>
  <c r="O32" i="66"/>
  <c r="P32" i="66"/>
  <c r="L32" i="66"/>
  <c r="K32" i="66"/>
  <c r="M31" i="66"/>
  <c r="N31" i="66"/>
  <c r="O31" i="66"/>
  <c r="P31" i="66"/>
  <c r="L31" i="66"/>
  <c r="K31" i="66"/>
  <c r="H30" i="66"/>
  <c r="M30" i="66"/>
  <c r="N30" i="66"/>
  <c r="O30" i="66"/>
  <c r="P30" i="66"/>
  <c r="L30" i="66"/>
  <c r="K30" i="66"/>
  <c r="H29" i="66"/>
  <c r="M29" i="66"/>
  <c r="N29" i="66"/>
  <c r="J29" i="66"/>
  <c r="O29" i="66"/>
  <c r="P29" i="66"/>
  <c r="L29" i="66"/>
  <c r="K29" i="66"/>
  <c r="F28" i="66"/>
  <c r="H28" i="66"/>
  <c r="M28" i="66"/>
  <c r="N28" i="66"/>
  <c r="J28" i="66"/>
  <c r="O28" i="66"/>
  <c r="P28" i="66"/>
  <c r="L28" i="66"/>
  <c r="K28" i="66"/>
  <c r="M27" i="66"/>
  <c r="N27" i="66"/>
  <c r="O27" i="66"/>
  <c r="P27" i="66"/>
  <c r="L27" i="66"/>
  <c r="K27" i="66"/>
  <c r="L31" i="13"/>
  <c r="L38" i="13"/>
  <c r="L18" i="13"/>
  <c r="L19" i="13"/>
  <c r="L15" i="13"/>
  <c r="E16" i="13"/>
  <c r="L16" i="13"/>
  <c r="L58" i="13"/>
  <c r="H56" i="13"/>
  <c r="M56" i="13"/>
  <c r="N56" i="13"/>
  <c r="O56" i="13"/>
  <c r="P56" i="13"/>
  <c r="L56" i="13"/>
  <c r="K56" i="13"/>
  <c r="H33" i="11"/>
  <c r="M33" i="11"/>
  <c r="I33" i="11"/>
  <c r="N33" i="11"/>
  <c r="O33" i="11"/>
  <c r="P33" i="11"/>
  <c r="L33" i="11"/>
  <c r="K33" i="11"/>
  <c r="H32" i="11"/>
  <c r="E32" i="11"/>
  <c r="M32" i="11"/>
  <c r="N32" i="11"/>
  <c r="O32" i="11"/>
  <c r="P32" i="11"/>
  <c r="L32" i="11"/>
  <c r="K32" i="11"/>
  <c r="H31" i="11"/>
  <c r="M31" i="11"/>
  <c r="N31" i="11"/>
  <c r="O31" i="11"/>
  <c r="P31" i="11"/>
  <c r="L31" i="11"/>
  <c r="K31" i="11"/>
  <c r="H36" i="11"/>
  <c r="E36" i="11"/>
  <c r="M36" i="11"/>
  <c r="N36" i="11"/>
  <c r="O36" i="11"/>
  <c r="P36" i="11"/>
  <c r="L36" i="11"/>
  <c r="K36" i="11"/>
  <c r="H35" i="11"/>
  <c r="E35" i="11"/>
  <c r="M35" i="11"/>
  <c r="N35" i="11"/>
  <c r="O35" i="11"/>
  <c r="P35" i="11"/>
  <c r="L35" i="11"/>
  <c r="K35" i="11"/>
  <c r="H34" i="11"/>
  <c r="M34" i="11"/>
  <c r="N34" i="11"/>
  <c r="O34" i="11"/>
  <c r="P34" i="11"/>
  <c r="L34" i="11"/>
  <c r="K34" i="11"/>
  <c r="H30" i="11"/>
  <c r="M30" i="11"/>
  <c r="N30" i="11"/>
  <c r="O30" i="11"/>
  <c r="P30" i="11"/>
  <c r="L30" i="11"/>
  <c r="K30" i="11"/>
  <c r="H147" i="10"/>
  <c r="M147" i="10"/>
  <c r="N147" i="10"/>
  <c r="O147" i="10"/>
  <c r="P147" i="10"/>
  <c r="L147" i="10"/>
  <c r="K147" i="10"/>
  <c r="H146" i="10"/>
  <c r="M146" i="10"/>
  <c r="N146" i="10"/>
  <c r="O146" i="10"/>
  <c r="P146" i="10"/>
  <c r="L146" i="10"/>
  <c r="K146" i="10"/>
  <c r="M18" i="66"/>
  <c r="N18" i="66"/>
  <c r="O18" i="66"/>
  <c r="P18" i="66"/>
  <c r="E19" i="66"/>
  <c r="M19" i="66"/>
  <c r="N19" i="66"/>
  <c r="O19" i="66"/>
  <c r="P19" i="66"/>
  <c r="M22" i="66"/>
  <c r="N22" i="66"/>
  <c r="O22" i="66"/>
  <c r="P22" i="66"/>
  <c r="E23" i="66"/>
  <c r="M23" i="66"/>
  <c r="N23" i="66"/>
  <c r="O23" i="66"/>
  <c r="P23" i="66"/>
  <c r="E24" i="66"/>
  <c r="M24" i="66"/>
  <c r="N24" i="66"/>
  <c r="O24" i="66"/>
  <c r="P24" i="66"/>
  <c r="E25" i="66"/>
  <c r="M25" i="66"/>
  <c r="N25" i="66"/>
  <c r="O25" i="66"/>
  <c r="P25" i="66"/>
  <c r="E26" i="66"/>
  <c r="M26" i="66"/>
  <c r="N26" i="66"/>
  <c r="O26" i="66"/>
  <c r="P26" i="66"/>
  <c r="O34" i="66"/>
  <c r="M34" i="66"/>
  <c r="N34" i="66"/>
  <c r="P34" i="66"/>
  <c r="M35" i="66"/>
  <c r="N35" i="66"/>
  <c r="O35" i="66"/>
  <c r="P35" i="66"/>
  <c r="M36" i="66"/>
  <c r="N36" i="66"/>
  <c r="O36" i="66"/>
  <c r="P36" i="66"/>
  <c r="M39" i="66"/>
  <c r="N39" i="66"/>
  <c r="O39" i="66"/>
  <c r="P39" i="66"/>
  <c r="M38" i="66"/>
  <c r="N38" i="66"/>
  <c r="O38" i="66"/>
  <c r="P38" i="66"/>
  <c r="M40" i="66"/>
  <c r="N40" i="66"/>
  <c r="O40" i="66"/>
  <c r="P40" i="66"/>
  <c r="M42" i="66"/>
  <c r="N42" i="66"/>
  <c r="O42" i="66"/>
  <c r="P42" i="66"/>
  <c r="M43" i="66"/>
  <c r="N43" i="66"/>
  <c r="O43" i="66"/>
  <c r="P43" i="66"/>
  <c r="M44" i="66"/>
  <c r="N44" i="66"/>
  <c r="O44" i="66"/>
  <c r="P44" i="66"/>
  <c r="M54" i="66"/>
  <c r="N54" i="66"/>
  <c r="O54" i="66"/>
  <c r="P54" i="66"/>
  <c r="M50" i="66"/>
  <c r="N50" i="66"/>
  <c r="O50" i="66"/>
  <c r="P50" i="66"/>
  <c r="M56" i="66"/>
  <c r="N56" i="66"/>
  <c r="O56" i="66"/>
  <c r="P56" i="66"/>
  <c r="M57" i="66"/>
  <c r="N57" i="66"/>
  <c r="O57" i="66"/>
  <c r="P57" i="66"/>
  <c r="E62" i="66"/>
  <c r="M62" i="66"/>
  <c r="N62" i="66"/>
  <c r="O62" i="66"/>
  <c r="P62" i="66"/>
  <c r="M63" i="66"/>
  <c r="N63" i="66"/>
  <c r="O63" i="66"/>
  <c r="P63" i="66"/>
  <c r="M61" i="66"/>
  <c r="N61" i="66"/>
  <c r="O61" i="66"/>
  <c r="P61" i="66"/>
  <c r="M65" i="66"/>
  <c r="N65" i="66"/>
  <c r="O65" i="66"/>
  <c r="P65" i="66"/>
  <c r="M66" i="66"/>
  <c r="N66" i="66"/>
  <c r="O66" i="66"/>
  <c r="P66" i="66"/>
  <c r="E70" i="66"/>
  <c r="M70" i="66"/>
  <c r="N70" i="66"/>
  <c r="O70" i="66"/>
  <c r="P70" i="66"/>
  <c r="E71" i="66"/>
  <c r="M71" i="66"/>
  <c r="N71" i="66"/>
  <c r="O71" i="66"/>
  <c r="P71" i="66"/>
  <c r="M87" i="66"/>
  <c r="N87" i="66"/>
  <c r="O87" i="66"/>
  <c r="P87" i="66"/>
  <c r="P90" i="66"/>
  <c r="E21" i="65"/>
  <c r="E23" i="65"/>
  <c r="E26" i="65"/>
  <c r="E24" i="65"/>
  <c r="E27" i="65"/>
  <c r="E25" i="65"/>
  <c r="H88" i="10"/>
  <c r="M88" i="10"/>
  <c r="N88" i="10"/>
  <c r="O88" i="10"/>
  <c r="P88" i="10"/>
  <c r="E89" i="10"/>
  <c r="H89" i="10"/>
  <c r="M89" i="10"/>
  <c r="N89" i="10"/>
  <c r="O89" i="10"/>
  <c r="P89" i="10"/>
  <c r="E90" i="10"/>
  <c r="H90" i="10"/>
  <c r="M90" i="10"/>
  <c r="N90" i="10"/>
  <c r="O90" i="10"/>
  <c r="P90" i="10"/>
  <c r="M13" i="10"/>
  <c r="N13" i="10"/>
  <c r="O13" i="10"/>
  <c r="P13" i="10"/>
  <c r="M14" i="10"/>
  <c r="N14" i="10"/>
  <c r="O14" i="10"/>
  <c r="P14" i="10"/>
  <c r="H15" i="10"/>
  <c r="M15" i="10"/>
  <c r="N15" i="10"/>
  <c r="O15" i="10"/>
  <c r="P15" i="10"/>
  <c r="H16" i="10"/>
  <c r="M16" i="10"/>
  <c r="N16" i="10"/>
  <c r="O16" i="10"/>
  <c r="P16" i="10"/>
  <c r="H17" i="10"/>
  <c r="M17" i="10"/>
  <c r="N17" i="10"/>
  <c r="O17" i="10"/>
  <c r="P17" i="10"/>
  <c r="H18" i="10"/>
  <c r="M18" i="10"/>
  <c r="N18" i="10"/>
  <c r="O18" i="10"/>
  <c r="P18" i="10"/>
  <c r="H19" i="10"/>
  <c r="M19" i="10"/>
  <c r="N19" i="10"/>
  <c r="O19" i="10"/>
  <c r="P19" i="10"/>
  <c r="H20" i="10"/>
  <c r="M20" i="10"/>
  <c r="N20" i="10"/>
  <c r="O20" i="10"/>
  <c r="P20" i="10"/>
  <c r="H21" i="10"/>
  <c r="E21" i="10"/>
  <c r="M21" i="10"/>
  <c r="N21" i="10"/>
  <c r="O21" i="10"/>
  <c r="P21" i="10"/>
  <c r="H22" i="10"/>
  <c r="E22" i="10"/>
  <c r="M22" i="10"/>
  <c r="N22" i="10"/>
  <c r="O22" i="10"/>
  <c r="P22" i="10"/>
  <c r="H23" i="10"/>
  <c r="M23" i="10"/>
  <c r="N23" i="10"/>
  <c r="O23" i="10"/>
  <c r="P23" i="10"/>
  <c r="H24" i="10"/>
  <c r="M24" i="10"/>
  <c r="N24" i="10"/>
  <c r="O24" i="10"/>
  <c r="P24" i="10"/>
  <c r="H25" i="10"/>
  <c r="E25" i="10"/>
  <c r="M25" i="10"/>
  <c r="N25" i="10"/>
  <c r="O25" i="10"/>
  <c r="P25" i="10"/>
  <c r="H26" i="10"/>
  <c r="M26" i="10"/>
  <c r="I26" i="10"/>
  <c r="N26" i="10"/>
  <c r="O26" i="10"/>
  <c r="P26" i="10"/>
  <c r="H27" i="10"/>
  <c r="M27" i="10"/>
  <c r="N27" i="10"/>
  <c r="O27" i="10"/>
  <c r="P27" i="10"/>
  <c r="H28" i="10"/>
  <c r="M28" i="10"/>
  <c r="N28" i="10"/>
  <c r="O28" i="10"/>
  <c r="P28" i="10"/>
  <c r="H29" i="10"/>
  <c r="E29" i="10"/>
  <c r="M29" i="10"/>
  <c r="N29" i="10"/>
  <c r="O29" i="10"/>
  <c r="P29" i="10"/>
  <c r="H30" i="10"/>
  <c r="E30" i="10"/>
  <c r="M30" i="10"/>
  <c r="N30" i="10"/>
  <c r="O30" i="10"/>
  <c r="P30" i="10"/>
  <c r="H31" i="10"/>
  <c r="M31" i="10"/>
  <c r="N31" i="10"/>
  <c r="O31" i="10"/>
  <c r="P31" i="10"/>
  <c r="H32" i="10"/>
  <c r="M32" i="10"/>
  <c r="N32" i="10"/>
  <c r="O32" i="10"/>
  <c r="P32" i="10"/>
  <c r="H33" i="10"/>
  <c r="M33" i="10"/>
  <c r="N33" i="10"/>
  <c r="O33" i="10"/>
  <c r="P33" i="10"/>
  <c r="H34" i="10"/>
  <c r="M34" i="10"/>
  <c r="N34" i="10"/>
  <c r="O34" i="10"/>
  <c r="P34" i="10"/>
  <c r="H35" i="10"/>
  <c r="M35" i="10"/>
  <c r="N35" i="10"/>
  <c r="O35" i="10"/>
  <c r="P35" i="10"/>
  <c r="H36" i="10"/>
  <c r="E36" i="10"/>
  <c r="M36" i="10"/>
  <c r="N36" i="10"/>
  <c r="O36" i="10"/>
  <c r="P36" i="10"/>
  <c r="H37" i="10"/>
  <c r="E37" i="10"/>
  <c r="M37" i="10"/>
  <c r="N37" i="10"/>
  <c r="O37" i="10"/>
  <c r="P37" i="10"/>
  <c r="H38" i="10"/>
  <c r="M38" i="10"/>
  <c r="N38" i="10"/>
  <c r="O38" i="10"/>
  <c r="P38" i="10"/>
  <c r="H39" i="10"/>
  <c r="M39" i="10"/>
  <c r="N39" i="10"/>
  <c r="O39" i="10"/>
  <c r="P39" i="10"/>
  <c r="H40" i="10"/>
  <c r="E40" i="10"/>
  <c r="M40" i="10"/>
  <c r="N40" i="10"/>
  <c r="O40" i="10"/>
  <c r="P40" i="10"/>
  <c r="H41" i="10"/>
  <c r="M41" i="10"/>
  <c r="I41" i="10"/>
  <c r="N41" i="10"/>
  <c r="O41" i="10"/>
  <c r="P41" i="10"/>
  <c r="H42" i="10"/>
  <c r="M42" i="10"/>
  <c r="N42" i="10"/>
  <c r="O42" i="10"/>
  <c r="P42" i="10"/>
  <c r="H43" i="10"/>
  <c r="M43" i="10"/>
  <c r="N43" i="10"/>
  <c r="O43" i="10"/>
  <c r="P43" i="10"/>
  <c r="H44" i="10"/>
  <c r="E44" i="10"/>
  <c r="M44" i="10"/>
  <c r="N44" i="10"/>
  <c r="O44" i="10"/>
  <c r="P44" i="10"/>
  <c r="H45" i="10"/>
  <c r="E45" i="10"/>
  <c r="M45" i="10"/>
  <c r="N45" i="10"/>
  <c r="O45" i="10"/>
  <c r="P45" i="10"/>
  <c r="H46" i="10"/>
  <c r="M46" i="10"/>
  <c r="N46" i="10"/>
  <c r="O46" i="10"/>
  <c r="P46" i="10"/>
  <c r="H47" i="10"/>
  <c r="M47" i="10"/>
  <c r="N47" i="10"/>
  <c r="O47" i="10"/>
  <c r="P47" i="10"/>
  <c r="H48" i="10"/>
  <c r="M48" i="10"/>
  <c r="N48" i="10"/>
  <c r="O48" i="10"/>
  <c r="P48" i="10"/>
  <c r="H49" i="10"/>
  <c r="M49" i="10"/>
  <c r="N49" i="10"/>
  <c r="O49" i="10"/>
  <c r="P49" i="10"/>
  <c r="H50" i="10"/>
  <c r="M50" i="10"/>
  <c r="N50" i="10"/>
  <c r="O50" i="10"/>
  <c r="P50" i="10"/>
  <c r="H51" i="10"/>
  <c r="E51" i="10"/>
  <c r="M51" i="10"/>
  <c r="N51" i="10"/>
  <c r="O51" i="10"/>
  <c r="P51" i="10"/>
  <c r="H52" i="10"/>
  <c r="E52" i="10"/>
  <c r="M52" i="10"/>
  <c r="N52" i="10"/>
  <c r="O52" i="10"/>
  <c r="P52" i="10"/>
  <c r="H53" i="10"/>
  <c r="M53" i="10"/>
  <c r="N53" i="10"/>
  <c r="O53" i="10"/>
  <c r="P53" i="10"/>
  <c r="H54" i="10"/>
  <c r="M54" i="10"/>
  <c r="N54" i="10"/>
  <c r="O54" i="10"/>
  <c r="P54" i="10"/>
  <c r="H55" i="10"/>
  <c r="E55" i="10"/>
  <c r="M55" i="10"/>
  <c r="N55" i="10"/>
  <c r="O55" i="10"/>
  <c r="P55" i="10"/>
  <c r="H56" i="10"/>
  <c r="M56" i="10"/>
  <c r="I56" i="10"/>
  <c r="N56" i="10"/>
  <c r="O56" i="10"/>
  <c r="P56" i="10"/>
  <c r="H57" i="10"/>
  <c r="M57" i="10"/>
  <c r="N57" i="10"/>
  <c r="O57" i="10"/>
  <c r="P57" i="10"/>
  <c r="H58" i="10"/>
  <c r="M58" i="10"/>
  <c r="N58" i="10"/>
  <c r="O58" i="10"/>
  <c r="P58" i="10"/>
  <c r="H59" i="10"/>
  <c r="E59" i="10"/>
  <c r="M59" i="10"/>
  <c r="N59" i="10"/>
  <c r="O59" i="10"/>
  <c r="P59" i="10"/>
  <c r="H60" i="10"/>
  <c r="E60" i="10"/>
  <c r="M60" i="10"/>
  <c r="N60" i="10"/>
  <c r="O60" i="10"/>
  <c r="P60" i="10"/>
  <c r="H61" i="10"/>
  <c r="M61" i="10"/>
  <c r="N61" i="10"/>
  <c r="O61" i="10"/>
  <c r="P61" i="10"/>
  <c r="H62" i="10"/>
  <c r="M62" i="10"/>
  <c r="N62" i="10"/>
  <c r="O62" i="10"/>
  <c r="P62" i="10"/>
  <c r="H63" i="10"/>
  <c r="M63" i="10"/>
  <c r="N63" i="10"/>
  <c r="O63" i="10"/>
  <c r="P63" i="10"/>
  <c r="H64" i="10"/>
  <c r="M64" i="10"/>
  <c r="N64" i="10"/>
  <c r="O64" i="10"/>
  <c r="P64" i="10"/>
  <c r="H65" i="10"/>
  <c r="M65" i="10"/>
  <c r="N65" i="10"/>
  <c r="O65" i="10"/>
  <c r="P65" i="10"/>
  <c r="H66" i="10"/>
  <c r="E66" i="10"/>
  <c r="M66" i="10"/>
  <c r="N66" i="10"/>
  <c r="O66" i="10"/>
  <c r="P66" i="10"/>
  <c r="H67" i="10"/>
  <c r="E67" i="10"/>
  <c r="M67" i="10"/>
  <c r="N67" i="10"/>
  <c r="O67" i="10"/>
  <c r="P67" i="10"/>
  <c r="H68" i="10"/>
  <c r="M68" i="10"/>
  <c r="N68" i="10"/>
  <c r="O68" i="10"/>
  <c r="P68" i="10"/>
  <c r="H69" i="10"/>
  <c r="M69" i="10"/>
  <c r="N69" i="10"/>
  <c r="O69" i="10"/>
  <c r="P69" i="10"/>
  <c r="H70" i="10"/>
  <c r="E70" i="10"/>
  <c r="M70" i="10"/>
  <c r="N70" i="10"/>
  <c r="O70" i="10"/>
  <c r="P70" i="10"/>
  <c r="H71" i="10"/>
  <c r="M71" i="10"/>
  <c r="I71" i="10"/>
  <c r="N71" i="10"/>
  <c r="O71" i="10"/>
  <c r="P71" i="10"/>
  <c r="H72" i="10"/>
  <c r="M72" i="10"/>
  <c r="N72" i="10"/>
  <c r="O72" i="10"/>
  <c r="P72" i="10"/>
  <c r="H73" i="10"/>
  <c r="M73" i="10"/>
  <c r="N73" i="10"/>
  <c r="O73" i="10"/>
  <c r="P73" i="10"/>
  <c r="H74" i="10"/>
  <c r="E74" i="10"/>
  <c r="M74" i="10"/>
  <c r="N74" i="10"/>
  <c r="O74" i="10"/>
  <c r="P74" i="10"/>
  <c r="H75" i="10"/>
  <c r="E75" i="10"/>
  <c r="M75" i="10"/>
  <c r="N75" i="10"/>
  <c r="O75" i="10"/>
  <c r="P75" i="10"/>
  <c r="H76" i="10"/>
  <c r="M76" i="10"/>
  <c r="N76" i="10"/>
  <c r="O76" i="10"/>
  <c r="P76" i="10"/>
  <c r="H77" i="10"/>
  <c r="M77" i="10"/>
  <c r="N77" i="10"/>
  <c r="O77" i="10"/>
  <c r="P77" i="10"/>
  <c r="H78" i="10"/>
  <c r="M78" i="10"/>
  <c r="N78" i="10"/>
  <c r="O78" i="10"/>
  <c r="P78" i="10"/>
  <c r="H79" i="10"/>
  <c r="M79" i="10"/>
  <c r="N79" i="10"/>
  <c r="O79" i="10"/>
  <c r="P79" i="10"/>
  <c r="H80" i="10"/>
  <c r="M80" i="10"/>
  <c r="N80" i="10"/>
  <c r="O80" i="10"/>
  <c r="P80" i="10"/>
  <c r="H81" i="10"/>
  <c r="E81" i="10"/>
  <c r="M81" i="10"/>
  <c r="N81" i="10"/>
  <c r="O81" i="10"/>
  <c r="P81" i="10"/>
  <c r="H82" i="10"/>
  <c r="E82" i="10"/>
  <c r="M82" i="10"/>
  <c r="N82" i="10"/>
  <c r="O82" i="10"/>
  <c r="P82" i="10"/>
  <c r="H83" i="10"/>
  <c r="M83" i="10"/>
  <c r="N83" i="10"/>
  <c r="O83" i="10"/>
  <c r="P83" i="10"/>
  <c r="H84" i="10"/>
  <c r="M84" i="10"/>
  <c r="N84" i="10"/>
  <c r="O84" i="10"/>
  <c r="P84" i="10"/>
  <c r="H85" i="10"/>
  <c r="E85" i="10"/>
  <c r="M85" i="10"/>
  <c r="N85" i="10"/>
  <c r="O85" i="10"/>
  <c r="P85" i="10"/>
  <c r="H86" i="10"/>
  <c r="M86" i="10"/>
  <c r="I86" i="10"/>
  <c r="N86" i="10"/>
  <c r="O86" i="10"/>
  <c r="P86" i="10"/>
  <c r="H87" i="10"/>
  <c r="M87" i="10"/>
  <c r="N87" i="10"/>
  <c r="O87" i="10"/>
  <c r="P87" i="10"/>
  <c r="H91" i="10"/>
  <c r="M91" i="10"/>
  <c r="N91" i="10"/>
  <c r="O91" i="10"/>
  <c r="P91" i="10"/>
  <c r="H92" i="10"/>
  <c r="M92" i="10"/>
  <c r="N92" i="10"/>
  <c r="O92" i="10"/>
  <c r="P92" i="10"/>
  <c r="H93" i="10"/>
  <c r="M93" i="10"/>
  <c r="N93" i="10"/>
  <c r="O93" i="10"/>
  <c r="P93" i="10"/>
  <c r="H94" i="10"/>
  <c r="M94" i="10"/>
  <c r="N94" i="10"/>
  <c r="O94" i="10"/>
  <c r="P94" i="10"/>
  <c r="H95" i="10"/>
  <c r="M95" i="10"/>
  <c r="N95" i="10"/>
  <c r="O95" i="10"/>
  <c r="P95" i="10"/>
  <c r="H96" i="10"/>
  <c r="E96" i="10"/>
  <c r="M96" i="10"/>
  <c r="N96" i="10"/>
  <c r="O96" i="10"/>
  <c r="P96" i="10"/>
  <c r="H97" i="10"/>
  <c r="E97" i="10"/>
  <c r="M97" i="10"/>
  <c r="N97" i="10"/>
  <c r="O97" i="10"/>
  <c r="P97" i="10"/>
  <c r="H98" i="10"/>
  <c r="M98" i="10"/>
  <c r="N98" i="10"/>
  <c r="O98" i="10"/>
  <c r="P98" i="10"/>
  <c r="H99" i="10"/>
  <c r="M99" i="10"/>
  <c r="N99" i="10"/>
  <c r="O99" i="10"/>
  <c r="P99" i="10"/>
  <c r="H100" i="10"/>
  <c r="E100" i="10"/>
  <c r="M100" i="10"/>
  <c r="N100" i="10"/>
  <c r="O100" i="10"/>
  <c r="P100" i="10"/>
  <c r="H101" i="10"/>
  <c r="M101" i="10"/>
  <c r="I101" i="10"/>
  <c r="N101" i="10"/>
  <c r="O101" i="10"/>
  <c r="P101" i="10"/>
  <c r="H102" i="10"/>
  <c r="M102" i="10"/>
  <c r="N102" i="10"/>
  <c r="O102" i="10"/>
  <c r="P102" i="10"/>
  <c r="H103" i="10"/>
  <c r="M103" i="10"/>
  <c r="N103" i="10"/>
  <c r="O103" i="10"/>
  <c r="P103" i="10"/>
  <c r="H104" i="10"/>
  <c r="E104" i="10"/>
  <c r="M104" i="10"/>
  <c r="N104" i="10"/>
  <c r="O104" i="10"/>
  <c r="P104" i="10"/>
  <c r="H105" i="10"/>
  <c r="E105" i="10"/>
  <c r="M105" i="10"/>
  <c r="N105" i="10"/>
  <c r="O105" i="10"/>
  <c r="P105" i="10"/>
  <c r="H106" i="10"/>
  <c r="M106" i="10"/>
  <c r="N106" i="10"/>
  <c r="O106" i="10"/>
  <c r="P106" i="10"/>
  <c r="H107" i="10"/>
  <c r="M107" i="10"/>
  <c r="N107" i="10"/>
  <c r="O107" i="10"/>
  <c r="P107" i="10"/>
  <c r="H108" i="10"/>
  <c r="M108" i="10"/>
  <c r="N108" i="10"/>
  <c r="O108" i="10"/>
  <c r="P108" i="10"/>
  <c r="H109" i="10"/>
  <c r="M109" i="10"/>
  <c r="N109" i="10"/>
  <c r="O109" i="10"/>
  <c r="P109" i="10"/>
  <c r="H110" i="10"/>
  <c r="M110" i="10"/>
  <c r="N110" i="10"/>
  <c r="O110" i="10"/>
  <c r="P110" i="10"/>
  <c r="H111" i="10"/>
  <c r="E111" i="10"/>
  <c r="M111" i="10"/>
  <c r="N111" i="10"/>
  <c r="O111" i="10"/>
  <c r="P111" i="10"/>
  <c r="H112" i="10"/>
  <c r="E112" i="10"/>
  <c r="M112" i="10"/>
  <c r="N112" i="10"/>
  <c r="O112" i="10"/>
  <c r="P112" i="10"/>
  <c r="H113" i="10"/>
  <c r="M113" i="10"/>
  <c r="N113" i="10"/>
  <c r="O113" i="10"/>
  <c r="P113" i="10"/>
  <c r="H114" i="10"/>
  <c r="M114" i="10"/>
  <c r="N114" i="10"/>
  <c r="O114" i="10"/>
  <c r="P114" i="10"/>
  <c r="H115" i="10"/>
  <c r="E115" i="10"/>
  <c r="M115" i="10"/>
  <c r="N115" i="10"/>
  <c r="O115" i="10"/>
  <c r="P115" i="10"/>
  <c r="H116" i="10"/>
  <c r="M116" i="10"/>
  <c r="I116" i="10"/>
  <c r="N116" i="10"/>
  <c r="O116" i="10"/>
  <c r="P116" i="10"/>
  <c r="H117" i="10"/>
  <c r="M117" i="10"/>
  <c r="N117" i="10"/>
  <c r="O117" i="10"/>
  <c r="P117" i="10"/>
  <c r="H118" i="10"/>
  <c r="E118" i="10"/>
  <c r="M118" i="10"/>
  <c r="N118" i="10"/>
  <c r="O118" i="10"/>
  <c r="P118" i="10"/>
  <c r="H119" i="10"/>
  <c r="E119" i="10"/>
  <c r="M119" i="10"/>
  <c r="N119" i="10"/>
  <c r="O119" i="10"/>
  <c r="P119" i="10"/>
  <c r="H120" i="10"/>
  <c r="M120" i="10"/>
  <c r="N120" i="10"/>
  <c r="O120" i="10"/>
  <c r="P120" i="10"/>
  <c r="H121" i="10"/>
  <c r="M121" i="10"/>
  <c r="N121" i="10"/>
  <c r="O121" i="10"/>
  <c r="P121" i="10"/>
  <c r="H122" i="10"/>
  <c r="M122" i="10"/>
  <c r="N122" i="10"/>
  <c r="O122" i="10"/>
  <c r="P122" i="10"/>
  <c r="H123" i="10"/>
  <c r="M123" i="10"/>
  <c r="N123" i="10"/>
  <c r="O123" i="10"/>
  <c r="P123" i="10"/>
  <c r="H124" i="10"/>
  <c r="M124" i="10"/>
  <c r="N124" i="10"/>
  <c r="O124" i="10"/>
  <c r="P124" i="10"/>
  <c r="H125" i="10"/>
  <c r="E125" i="10"/>
  <c r="M125" i="10"/>
  <c r="N125" i="10"/>
  <c r="O125" i="10"/>
  <c r="P125" i="10"/>
  <c r="H126" i="10"/>
  <c r="E126" i="10"/>
  <c r="M126" i="10"/>
  <c r="N126" i="10"/>
  <c r="O126" i="10"/>
  <c r="P126" i="10"/>
  <c r="H127" i="10"/>
  <c r="E127" i="10"/>
  <c r="M127" i="10"/>
  <c r="N127" i="10"/>
  <c r="O127" i="10"/>
  <c r="P127" i="10"/>
  <c r="H128" i="10"/>
  <c r="E128" i="10"/>
  <c r="M128" i="10"/>
  <c r="N128" i="10"/>
  <c r="O128" i="10"/>
  <c r="P128" i="10"/>
  <c r="H129" i="10"/>
  <c r="E129" i="10"/>
  <c r="M129" i="10"/>
  <c r="N129" i="10"/>
  <c r="O129" i="10"/>
  <c r="P129" i="10"/>
  <c r="H130" i="10"/>
  <c r="M130" i="10"/>
  <c r="I130" i="10"/>
  <c r="N130" i="10"/>
  <c r="O130" i="10"/>
  <c r="P130" i="10"/>
  <c r="H131" i="10"/>
  <c r="M131" i="10"/>
  <c r="N131" i="10"/>
  <c r="O131" i="10"/>
  <c r="P131" i="10"/>
  <c r="E132" i="10"/>
  <c r="M132" i="10"/>
  <c r="N132" i="10"/>
  <c r="O132" i="10"/>
  <c r="P132" i="10"/>
  <c r="E133" i="10"/>
  <c r="M133" i="10"/>
  <c r="N133" i="10"/>
  <c r="O133" i="10"/>
  <c r="P133" i="10"/>
  <c r="H134" i="10"/>
  <c r="M134" i="10"/>
  <c r="N134" i="10"/>
  <c r="O134" i="10"/>
  <c r="P134" i="10"/>
  <c r="H135" i="10"/>
  <c r="E135" i="10"/>
  <c r="M135" i="10"/>
  <c r="N135" i="10"/>
  <c r="O135" i="10"/>
  <c r="P135" i="10"/>
  <c r="H136" i="10"/>
  <c r="M136" i="10"/>
  <c r="N136" i="10"/>
  <c r="O136" i="10"/>
  <c r="P136" i="10"/>
  <c r="H137" i="10"/>
  <c r="E137" i="10"/>
  <c r="M137" i="10"/>
  <c r="N137" i="10"/>
  <c r="O137" i="10"/>
  <c r="P137" i="10"/>
  <c r="H138" i="10"/>
  <c r="E138" i="10"/>
  <c r="M138" i="10"/>
  <c r="N138" i="10"/>
  <c r="O138" i="10"/>
  <c r="P138" i="10"/>
  <c r="H139" i="10"/>
  <c r="M139" i="10"/>
  <c r="I139" i="10"/>
  <c r="N139" i="10"/>
  <c r="O139" i="10"/>
  <c r="P139" i="10"/>
  <c r="H140" i="10"/>
  <c r="E140" i="10"/>
  <c r="M140" i="10"/>
  <c r="N140" i="10"/>
  <c r="O140" i="10"/>
  <c r="P140" i="10"/>
  <c r="E141" i="10"/>
  <c r="M141" i="10"/>
  <c r="N141" i="10"/>
  <c r="O141" i="10"/>
  <c r="P141" i="10"/>
  <c r="E142" i="10"/>
  <c r="M142" i="10"/>
  <c r="N142" i="10"/>
  <c r="O142" i="10"/>
  <c r="P142" i="10"/>
  <c r="H143" i="10"/>
  <c r="E143" i="10"/>
  <c r="M143" i="10"/>
  <c r="N143" i="10"/>
  <c r="O143" i="10"/>
  <c r="P143" i="10"/>
  <c r="E144" i="10"/>
  <c r="M144" i="10"/>
  <c r="N144" i="10"/>
  <c r="O144" i="10"/>
  <c r="P144" i="10"/>
  <c r="E145" i="10"/>
  <c r="M145" i="10"/>
  <c r="N145" i="10"/>
  <c r="O145" i="10"/>
  <c r="P145" i="10"/>
  <c r="H148" i="10"/>
  <c r="M148" i="10"/>
  <c r="N148" i="10"/>
  <c r="O148" i="10"/>
  <c r="P148" i="10"/>
  <c r="H149" i="10"/>
  <c r="M149" i="10"/>
  <c r="N149" i="10"/>
  <c r="O149" i="10"/>
  <c r="P149" i="10"/>
  <c r="H150" i="10"/>
  <c r="M150" i="10"/>
  <c r="N150" i="10"/>
  <c r="O150" i="10"/>
  <c r="P150" i="10"/>
  <c r="H151" i="10"/>
  <c r="M151" i="10"/>
  <c r="N151" i="10"/>
  <c r="O151" i="10"/>
  <c r="P151" i="10"/>
  <c r="H152" i="10"/>
  <c r="E152" i="10"/>
  <c r="M152" i="10"/>
  <c r="N152" i="10"/>
  <c r="O152" i="10"/>
  <c r="P152" i="10"/>
  <c r="H153" i="10"/>
  <c r="M153" i="10"/>
  <c r="I153" i="10"/>
  <c r="N153" i="10"/>
  <c r="O153" i="10"/>
  <c r="P153" i="10"/>
  <c r="H154" i="10"/>
  <c r="M154" i="10"/>
  <c r="N154" i="10"/>
  <c r="O154" i="10"/>
  <c r="P154" i="10"/>
  <c r="H155" i="10"/>
  <c r="E155" i="10"/>
  <c r="M155" i="10"/>
  <c r="N155" i="10"/>
  <c r="O155" i="10"/>
  <c r="P155" i="10"/>
  <c r="H156" i="10"/>
  <c r="E156" i="10"/>
  <c r="M156" i="10"/>
  <c r="N156" i="10"/>
  <c r="O156" i="10"/>
  <c r="P156" i="10"/>
  <c r="H157" i="10"/>
  <c r="M157" i="10"/>
  <c r="N157" i="10"/>
  <c r="O157" i="10"/>
  <c r="P157" i="10"/>
  <c r="H158" i="10"/>
  <c r="E158" i="10"/>
  <c r="M158" i="10"/>
  <c r="N158" i="10"/>
  <c r="O158" i="10"/>
  <c r="P158" i="10"/>
  <c r="H159" i="10"/>
  <c r="E159" i="10"/>
  <c r="M159" i="10"/>
  <c r="N159" i="10"/>
  <c r="O159" i="10"/>
  <c r="P159" i="10"/>
  <c r="H160" i="10"/>
  <c r="M160" i="10"/>
  <c r="N160" i="10"/>
  <c r="O160" i="10"/>
  <c r="P160" i="10"/>
  <c r="H161" i="10"/>
  <c r="M161" i="10"/>
  <c r="N161" i="10"/>
  <c r="O161" i="10"/>
  <c r="P161" i="10"/>
  <c r="H162" i="10"/>
  <c r="M162" i="10"/>
  <c r="N162" i="10"/>
  <c r="O162" i="10"/>
  <c r="P162" i="10"/>
  <c r="H163" i="10"/>
  <c r="M163" i="10"/>
  <c r="N163" i="10"/>
  <c r="O163" i="10"/>
  <c r="P163" i="10"/>
  <c r="H164" i="10"/>
  <c r="M164" i="10"/>
  <c r="N164" i="10"/>
  <c r="O164" i="10"/>
  <c r="P164" i="10"/>
  <c r="H165" i="10"/>
  <c r="M165" i="10"/>
  <c r="N165" i="10"/>
  <c r="O165" i="10"/>
  <c r="P165" i="10"/>
  <c r="H166" i="10"/>
  <c r="E166" i="10"/>
  <c r="M166" i="10"/>
  <c r="N166" i="10"/>
  <c r="O166" i="10"/>
  <c r="P166" i="10"/>
  <c r="H167" i="10"/>
  <c r="M167" i="10"/>
  <c r="I167" i="10"/>
  <c r="N167" i="10"/>
  <c r="O167" i="10"/>
  <c r="P167" i="10"/>
  <c r="H168" i="10"/>
  <c r="M168" i="10"/>
  <c r="N168" i="10"/>
  <c r="O168" i="10"/>
  <c r="P168" i="10"/>
  <c r="H169" i="10"/>
  <c r="E169" i="10"/>
  <c r="M169" i="10"/>
  <c r="N169" i="10"/>
  <c r="O169" i="10"/>
  <c r="P169" i="10"/>
  <c r="H170" i="10"/>
  <c r="E170" i="10"/>
  <c r="M170" i="10"/>
  <c r="N170" i="10"/>
  <c r="O170" i="10"/>
  <c r="P170" i="10"/>
  <c r="H171" i="10"/>
  <c r="M171" i="10"/>
  <c r="N171" i="10"/>
  <c r="O171" i="10"/>
  <c r="P171" i="10"/>
  <c r="H172" i="10"/>
  <c r="E172" i="10"/>
  <c r="M172" i="10"/>
  <c r="N172" i="10"/>
  <c r="O172" i="10"/>
  <c r="P172" i="10"/>
  <c r="H173" i="10"/>
  <c r="E173" i="10"/>
  <c r="M173" i="10"/>
  <c r="N173" i="10"/>
  <c r="O173" i="10"/>
  <c r="P173" i="10"/>
  <c r="H174" i="10"/>
  <c r="M174" i="10"/>
  <c r="N174" i="10"/>
  <c r="O174" i="10"/>
  <c r="P174" i="10"/>
  <c r="H175" i="10"/>
  <c r="M175" i="10"/>
  <c r="N175" i="10"/>
  <c r="O175" i="10"/>
  <c r="P175" i="10"/>
  <c r="H176" i="10"/>
  <c r="M176" i="10"/>
  <c r="N176" i="10"/>
  <c r="O176" i="10"/>
  <c r="P176" i="10"/>
  <c r="H177" i="10"/>
  <c r="E177" i="10"/>
  <c r="M177" i="10"/>
  <c r="N177" i="10"/>
  <c r="O177" i="10"/>
  <c r="P177" i="10"/>
  <c r="H178" i="10"/>
  <c r="M178" i="10"/>
  <c r="N178" i="10"/>
  <c r="O178" i="10"/>
  <c r="P178" i="10"/>
  <c r="H179" i="10"/>
  <c r="E179" i="10"/>
  <c r="M179" i="10"/>
  <c r="N179" i="10"/>
  <c r="O179" i="10"/>
  <c r="P179" i="10"/>
  <c r="H180" i="10"/>
  <c r="E180" i="10"/>
  <c r="M180" i="10"/>
  <c r="N180" i="10"/>
  <c r="O180" i="10"/>
  <c r="P180" i="10"/>
  <c r="H181" i="10"/>
  <c r="M181" i="10"/>
  <c r="I181" i="10"/>
  <c r="N181" i="10"/>
  <c r="O181" i="10"/>
  <c r="P181" i="10"/>
  <c r="H182" i="10"/>
  <c r="E182" i="10"/>
  <c r="M182" i="10"/>
  <c r="N182" i="10"/>
  <c r="O182" i="10"/>
  <c r="P182" i="10"/>
  <c r="H183" i="10"/>
  <c r="E183" i="10"/>
  <c r="M183" i="10"/>
  <c r="N183" i="10"/>
  <c r="O183" i="10"/>
  <c r="P183" i="10"/>
  <c r="H184" i="10"/>
  <c r="E184" i="10"/>
  <c r="M184" i="10"/>
  <c r="N184" i="10"/>
  <c r="O184" i="10"/>
  <c r="P184" i="10"/>
  <c r="H185" i="10"/>
  <c r="E185" i="10"/>
  <c r="M185" i="10"/>
  <c r="N185" i="10"/>
  <c r="O185" i="10"/>
  <c r="P185" i="10"/>
  <c r="H186" i="10"/>
  <c r="E186" i="10"/>
  <c r="M186" i="10"/>
  <c r="N186" i="10"/>
  <c r="O186" i="10"/>
  <c r="P186" i="10"/>
  <c r="H187" i="10"/>
  <c r="E187" i="10"/>
  <c r="M187" i="10"/>
  <c r="N187" i="10"/>
  <c r="O187" i="10"/>
  <c r="P187" i="10"/>
  <c r="H188" i="10"/>
  <c r="M188" i="10"/>
  <c r="N188" i="10"/>
  <c r="O188" i="10"/>
  <c r="P188" i="10"/>
  <c r="H189" i="10"/>
  <c r="M189" i="10"/>
  <c r="N189" i="10"/>
  <c r="O189" i="10"/>
  <c r="P189" i="10"/>
  <c r="H190" i="10"/>
  <c r="M190" i="10"/>
  <c r="N190" i="10"/>
  <c r="O190" i="10"/>
  <c r="P190" i="10"/>
  <c r="H191" i="10"/>
  <c r="E191" i="10"/>
  <c r="M191" i="10"/>
  <c r="N191" i="10"/>
  <c r="O191" i="10"/>
  <c r="P191" i="10"/>
  <c r="H192" i="10"/>
  <c r="M192" i="10"/>
  <c r="N192" i="10"/>
  <c r="O192" i="10"/>
  <c r="P192" i="10"/>
  <c r="H193" i="10"/>
  <c r="E193" i="10"/>
  <c r="M193" i="10"/>
  <c r="N193" i="10"/>
  <c r="O193" i="10"/>
  <c r="P193" i="10"/>
  <c r="H194" i="10"/>
  <c r="E194" i="10"/>
  <c r="M194" i="10"/>
  <c r="N194" i="10"/>
  <c r="O194" i="10"/>
  <c r="P194" i="10"/>
  <c r="H195" i="10"/>
  <c r="M195" i="10"/>
  <c r="I195" i="10"/>
  <c r="N195" i="10"/>
  <c r="O195" i="10"/>
  <c r="P195" i="10"/>
  <c r="H196" i="10"/>
  <c r="E196" i="10"/>
  <c r="M196" i="10"/>
  <c r="N196" i="10"/>
  <c r="O196" i="10"/>
  <c r="P196" i="10"/>
  <c r="H197" i="10"/>
  <c r="E197" i="10"/>
  <c r="M197" i="10"/>
  <c r="N197" i="10"/>
  <c r="O197" i="10"/>
  <c r="P197" i="10"/>
  <c r="H198" i="10"/>
  <c r="E198" i="10"/>
  <c r="M198" i="10"/>
  <c r="N198" i="10"/>
  <c r="O198" i="10"/>
  <c r="P198" i="10"/>
  <c r="H199" i="10"/>
  <c r="E199" i="10"/>
  <c r="M199" i="10"/>
  <c r="N199" i="10"/>
  <c r="O199" i="10"/>
  <c r="P199" i="10"/>
  <c r="H200" i="10"/>
  <c r="E200" i="10"/>
  <c r="M200" i="10"/>
  <c r="N200" i="10"/>
  <c r="O200" i="10"/>
  <c r="P200" i="10"/>
  <c r="H201" i="10"/>
  <c r="E201" i="10"/>
  <c r="M201" i="10"/>
  <c r="N201" i="10"/>
  <c r="O201" i="10"/>
  <c r="P201" i="10"/>
  <c r="H202" i="10"/>
  <c r="M202" i="10"/>
  <c r="N202" i="10"/>
  <c r="O202" i="10"/>
  <c r="P202" i="10"/>
  <c r="H203" i="10"/>
  <c r="M203" i="10"/>
  <c r="N203" i="10"/>
  <c r="O203" i="10"/>
  <c r="P203" i="10"/>
  <c r="P225" i="10"/>
  <c r="E22" i="22"/>
  <c r="M24" i="11"/>
  <c r="N24" i="11"/>
  <c r="O24" i="11"/>
  <c r="P24" i="11"/>
  <c r="E25" i="11"/>
  <c r="M25" i="11"/>
  <c r="N25" i="11"/>
  <c r="O25" i="11"/>
  <c r="P25" i="11"/>
  <c r="I26" i="11"/>
  <c r="N26" i="11"/>
  <c r="P26" i="11"/>
  <c r="H102" i="11"/>
  <c r="M102" i="11"/>
  <c r="P102" i="11"/>
  <c r="H107" i="11"/>
  <c r="M107" i="11"/>
  <c r="P107" i="11"/>
  <c r="M15" i="11"/>
  <c r="N15" i="11"/>
  <c r="O15" i="11"/>
  <c r="P15" i="11"/>
  <c r="E16" i="11"/>
  <c r="M16" i="11"/>
  <c r="N16" i="11"/>
  <c r="O16" i="11"/>
  <c r="P16" i="11"/>
  <c r="I17" i="11"/>
  <c r="N17" i="11"/>
  <c r="P17" i="11"/>
  <c r="M45" i="11"/>
  <c r="N45" i="11"/>
  <c r="O45" i="11"/>
  <c r="P45" i="11"/>
  <c r="M59" i="11"/>
  <c r="N59" i="11"/>
  <c r="O59" i="11"/>
  <c r="P59" i="11"/>
  <c r="P149" i="11"/>
  <c r="E23" i="22"/>
  <c r="N15" i="12"/>
  <c r="P15" i="12"/>
  <c r="P25" i="12"/>
  <c r="E24" i="22"/>
  <c r="M21" i="13"/>
  <c r="N21" i="13"/>
  <c r="O21" i="13"/>
  <c r="P21" i="13"/>
  <c r="E22" i="13"/>
  <c r="M22" i="13"/>
  <c r="N22" i="13"/>
  <c r="O22" i="13"/>
  <c r="P22" i="13"/>
  <c r="I23" i="13"/>
  <c r="N23" i="13"/>
  <c r="P23" i="13"/>
  <c r="E49" i="13"/>
  <c r="N49" i="13"/>
  <c r="M49" i="13"/>
  <c r="O49" i="13"/>
  <c r="P49" i="13"/>
  <c r="M50" i="13"/>
  <c r="N50" i="13"/>
  <c r="O50" i="13"/>
  <c r="P50" i="13"/>
  <c r="E51" i="13"/>
  <c r="M51" i="13"/>
  <c r="N51" i="13"/>
  <c r="O51" i="13"/>
  <c r="P51" i="13"/>
  <c r="M48" i="13"/>
  <c r="N48" i="13"/>
  <c r="O48" i="13"/>
  <c r="P48" i="13"/>
  <c r="H31" i="13"/>
  <c r="M31" i="13"/>
  <c r="P31" i="13"/>
  <c r="H38" i="13"/>
  <c r="M38" i="13"/>
  <c r="P38" i="13"/>
  <c r="M18" i="13"/>
  <c r="N18" i="13"/>
  <c r="O18" i="13"/>
  <c r="P18" i="13"/>
  <c r="M19" i="13"/>
  <c r="N19" i="13"/>
  <c r="O19" i="13"/>
  <c r="P19" i="13"/>
  <c r="M15" i="13"/>
  <c r="N15" i="13"/>
  <c r="O15" i="13"/>
  <c r="P15" i="13"/>
  <c r="M16" i="13"/>
  <c r="N16" i="13"/>
  <c r="O16" i="13"/>
  <c r="P16" i="13"/>
  <c r="I17" i="13"/>
  <c r="N17" i="13"/>
  <c r="P17" i="13"/>
  <c r="P58" i="13"/>
  <c r="E25" i="22"/>
  <c r="N24" i="15"/>
  <c r="P24" i="15"/>
  <c r="P74" i="15"/>
  <c r="E27" i="22"/>
  <c r="M14" i="14"/>
  <c r="N14" i="14"/>
  <c r="O14" i="14"/>
  <c r="P14" i="14"/>
  <c r="M13" i="14"/>
  <c r="N13" i="14"/>
  <c r="O13" i="14"/>
  <c r="P13" i="14"/>
  <c r="H90" i="14"/>
  <c r="M90" i="14"/>
  <c r="N90" i="14"/>
  <c r="O90" i="14"/>
  <c r="P90" i="14"/>
  <c r="H91" i="14"/>
  <c r="M91" i="14"/>
  <c r="N91" i="14"/>
  <c r="O91" i="14"/>
  <c r="P91" i="14"/>
  <c r="P93" i="14"/>
  <c r="E26" i="22"/>
  <c r="M18" i="9"/>
  <c r="N18" i="9"/>
  <c r="O18" i="9"/>
  <c r="P18" i="9"/>
  <c r="M22" i="9"/>
  <c r="N22" i="9"/>
  <c r="O22" i="9"/>
  <c r="P22" i="9"/>
  <c r="M19" i="9"/>
  <c r="N19" i="9"/>
  <c r="O19" i="9"/>
  <c r="P19" i="9"/>
  <c r="M20" i="9"/>
  <c r="N20" i="9"/>
  <c r="O20" i="9"/>
  <c r="P20" i="9"/>
  <c r="M21" i="9"/>
  <c r="N21" i="9"/>
  <c r="O21" i="9"/>
  <c r="P21" i="9"/>
  <c r="P24" i="9"/>
  <c r="E21" i="22"/>
  <c r="P93" i="16"/>
  <c r="E28" i="22"/>
  <c r="E33" i="22"/>
  <c r="E36" i="22"/>
  <c r="E34" i="22"/>
  <c r="E37" i="22"/>
  <c r="K16" i="59"/>
  <c r="L16" i="59"/>
  <c r="M16" i="59"/>
  <c r="N16" i="59"/>
  <c r="O16" i="59"/>
  <c r="P16" i="59"/>
  <c r="K17" i="59"/>
  <c r="L17" i="59"/>
  <c r="M17" i="59"/>
  <c r="P17" i="59"/>
  <c r="N17" i="59"/>
  <c r="O17" i="59"/>
  <c r="K18" i="59"/>
  <c r="L18" i="59"/>
  <c r="M18" i="59"/>
  <c r="N18" i="59"/>
  <c r="O18" i="59"/>
  <c r="P18" i="59"/>
  <c r="K19" i="59"/>
  <c r="L19" i="59"/>
  <c r="M19" i="59"/>
  <c r="N19" i="59"/>
  <c r="P19" i="59"/>
  <c r="O19" i="59"/>
  <c r="K20" i="59"/>
  <c r="L20" i="59"/>
  <c r="M20" i="59"/>
  <c r="N20" i="59"/>
  <c r="O20" i="59"/>
  <c r="P20" i="59"/>
  <c r="K21" i="59"/>
  <c r="L21" i="59"/>
  <c r="M21" i="59"/>
  <c r="N21" i="59"/>
  <c r="P21" i="59"/>
  <c r="O21" i="59"/>
  <c r="K22" i="59"/>
  <c r="L22" i="59"/>
  <c r="M22" i="59"/>
  <c r="N22" i="59"/>
  <c r="O22" i="59"/>
  <c r="P22" i="59"/>
  <c r="K23" i="59"/>
  <c r="L23" i="59"/>
  <c r="M23" i="59"/>
  <c r="N23" i="59"/>
  <c r="P23" i="59"/>
  <c r="O23" i="59"/>
  <c r="K24" i="59"/>
  <c r="L24" i="59"/>
  <c r="M24" i="59"/>
  <c r="N24" i="59"/>
  <c r="O24" i="59"/>
  <c r="P24" i="59"/>
  <c r="K25" i="59"/>
  <c r="L25" i="59"/>
  <c r="M25" i="59"/>
  <c r="N25" i="59"/>
  <c r="P25" i="59"/>
  <c r="O25" i="59"/>
  <c r="K26" i="59"/>
  <c r="L26" i="59"/>
  <c r="M26" i="59"/>
  <c r="N26" i="59"/>
  <c r="O26" i="59"/>
  <c r="P26" i="59"/>
  <c r="K27" i="59"/>
  <c r="L27" i="59"/>
  <c r="M27" i="59"/>
  <c r="N27" i="59"/>
  <c r="P27" i="59"/>
  <c r="O27" i="59"/>
  <c r="K28" i="59"/>
  <c r="L28" i="59"/>
  <c r="M28" i="59"/>
  <c r="N28" i="59"/>
  <c r="O28" i="59"/>
  <c r="P28" i="59"/>
  <c r="K29" i="59"/>
  <c r="L29" i="59"/>
  <c r="M29" i="59"/>
  <c r="N29" i="59"/>
  <c r="P29" i="59"/>
  <c r="O29" i="59"/>
  <c r="K30" i="59"/>
  <c r="L30" i="59"/>
  <c r="M30" i="59"/>
  <c r="N30" i="59"/>
  <c r="O30" i="59"/>
  <c r="P30" i="59"/>
  <c r="K31" i="59"/>
  <c r="L31" i="59"/>
  <c r="M31" i="59"/>
  <c r="N31" i="59"/>
  <c r="P31" i="59"/>
  <c r="O31" i="59"/>
  <c r="K32" i="59"/>
  <c r="L32" i="59"/>
  <c r="M32" i="59"/>
  <c r="N32" i="59"/>
  <c r="O32" i="59"/>
  <c r="P32" i="59"/>
  <c r="K33" i="59"/>
  <c r="L33" i="59"/>
  <c r="M33" i="59"/>
  <c r="N33" i="59"/>
  <c r="P33" i="59"/>
  <c r="O33" i="59"/>
  <c r="K34" i="59"/>
  <c r="L34" i="59"/>
  <c r="M34" i="59"/>
  <c r="N34" i="59"/>
  <c r="O34" i="59"/>
  <c r="P34" i="59"/>
  <c r="K35" i="59"/>
  <c r="L35" i="59"/>
  <c r="M35" i="59"/>
  <c r="N35" i="59"/>
  <c r="P35" i="59"/>
  <c r="O35" i="59"/>
  <c r="K36" i="59"/>
  <c r="L36" i="59"/>
  <c r="M36" i="59"/>
  <c r="N36" i="59"/>
  <c r="O36" i="59"/>
  <c r="P36" i="59"/>
  <c r="K37" i="59"/>
  <c r="L37" i="59"/>
  <c r="M37" i="59"/>
  <c r="N37" i="59"/>
  <c r="P37" i="59"/>
  <c r="O37" i="59"/>
  <c r="K38" i="59"/>
  <c r="L38" i="59"/>
  <c r="M38" i="59"/>
  <c r="N38" i="59"/>
  <c r="O38" i="59"/>
  <c r="P38" i="59"/>
  <c r="K39" i="59"/>
  <c r="L39" i="59"/>
  <c r="M39" i="59"/>
  <c r="N39" i="59"/>
  <c r="P39" i="59"/>
  <c r="O39" i="59"/>
  <c r="K40" i="59"/>
  <c r="L40" i="59"/>
  <c r="M40" i="59"/>
  <c r="N40" i="59"/>
  <c r="O40" i="59"/>
  <c r="P40" i="59"/>
  <c r="K41" i="59"/>
  <c r="L41" i="59"/>
  <c r="M41" i="59"/>
  <c r="N41" i="59"/>
  <c r="P41" i="59"/>
  <c r="O41" i="59"/>
  <c r="K42" i="59"/>
  <c r="L42" i="59"/>
  <c r="M42" i="59"/>
  <c r="N42" i="59"/>
  <c r="O42" i="59"/>
  <c r="P42" i="59"/>
  <c r="K43" i="59"/>
  <c r="L43" i="59"/>
  <c r="M43" i="59"/>
  <c r="N43" i="59"/>
  <c r="P43" i="59"/>
  <c r="O43" i="59"/>
  <c r="K44" i="59"/>
  <c r="L44" i="59"/>
  <c r="M44" i="59"/>
  <c r="N44" i="59"/>
  <c r="O44" i="59"/>
  <c r="P44" i="59"/>
  <c r="K45" i="59"/>
  <c r="L45" i="59"/>
  <c r="M45" i="59"/>
  <c r="N45" i="59"/>
  <c r="P45" i="59"/>
  <c r="O45" i="59"/>
  <c r="K46" i="59"/>
  <c r="L46" i="59"/>
  <c r="M46" i="59"/>
  <c r="N46" i="59"/>
  <c r="O46" i="59"/>
  <c r="P46" i="59"/>
  <c r="K47" i="59"/>
  <c r="L47" i="59"/>
  <c r="M47" i="59"/>
  <c r="N47" i="59"/>
  <c r="P47" i="59"/>
  <c r="O47" i="59"/>
  <c r="K48" i="59"/>
  <c r="L48" i="59"/>
  <c r="M48" i="59"/>
  <c r="N48" i="59"/>
  <c r="O48" i="59"/>
  <c r="P48" i="59"/>
  <c r="K49" i="59"/>
  <c r="L49" i="59"/>
  <c r="M49" i="59"/>
  <c r="N49" i="59"/>
  <c r="P49" i="59"/>
  <c r="O49" i="59"/>
  <c r="K50" i="59"/>
  <c r="L50" i="59"/>
  <c r="M50" i="59"/>
  <c r="N50" i="59"/>
  <c r="O50" i="59"/>
  <c r="P50" i="59"/>
  <c r="K51" i="59"/>
  <c r="L51" i="59"/>
  <c r="M51" i="59"/>
  <c r="N51" i="59"/>
  <c r="O51" i="59"/>
  <c r="P51" i="59"/>
  <c r="K52" i="59"/>
  <c r="L52" i="59"/>
  <c r="M52" i="59"/>
  <c r="N52" i="59"/>
  <c r="O52" i="59"/>
  <c r="P52" i="59"/>
  <c r="K53" i="59"/>
  <c r="L53" i="59"/>
  <c r="M53" i="59"/>
  <c r="N53" i="59"/>
  <c r="O53" i="59"/>
  <c r="P53" i="59"/>
  <c r="K54" i="59"/>
  <c r="L54" i="59"/>
  <c r="M54" i="59"/>
  <c r="N54" i="59"/>
  <c r="P54" i="59"/>
  <c r="O54" i="59"/>
  <c r="K55" i="59"/>
  <c r="L55" i="59"/>
  <c r="M55" i="59"/>
  <c r="N55" i="59"/>
  <c r="O55" i="59"/>
  <c r="P55" i="59"/>
  <c r="K56" i="59"/>
  <c r="L56" i="59"/>
  <c r="M56" i="59"/>
  <c r="N56" i="59"/>
  <c r="O56" i="59"/>
  <c r="P56" i="59"/>
  <c r="K57" i="59"/>
  <c r="L57" i="59"/>
  <c r="M57" i="59"/>
  <c r="N57" i="59"/>
  <c r="O57" i="59"/>
  <c r="P57" i="59"/>
  <c r="K58" i="59"/>
  <c r="L58" i="59"/>
  <c r="M58" i="59"/>
  <c r="N58" i="59"/>
  <c r="P58" i="59"/>
  <c r="O58" i="59"/>
  <c r="K59" i="59"/>
  <c r="L59" i="59"/>
  <c r="M59" i="59"/>
  <c r="N59" i="59"/>
  <c r="O59" i="59"/>
  <c r="P59" i="59"/>
  <c r="K60" i="59"/>
  <c r="L60" i="59"/>
  <c r="M60" i="59"/>
  <c r="N60" i="59"/>
  <c r="P60" i="59"/>
  <c r="O60" i="59"/>
  <c r="K61" i="59"/>
  <c r="L61" i="59"/>
  <c r="M61" i="59"/>
  <c r="N61" i="59"/>
  <c r="O61" i="59"/>
  <c r="P61" i="59"/>
  <c r="K62" i="59"/>
  <c r="L62" i="59"/>
  <c r="M62" i="59"/>
  <c r="N62" i="59"/>
  <c r="P62" i="59"/>
  <c r="O62" i="59"/>
  <c r="K15" i="59"/>
  <c r="D21" i="2"/>
  <c r="D24" i="2"/>
  <c r="H15" i="9"/>
  <c r="M13" i="13"/>
  <c r="N13" i="13"/>
  <c r="O13" i="13"/>
  <c r="P13" i="13"/>
  <c r="M14" i="13"/>
  <c r="N14" i="13"/>
  <c r="O14" i="13"/>
  <c r="P14" i="13"/>
  <c r="M17" i="13"/>
  <c r="O17" i="13"/>
  <c r="H18" i="13"/>
  <c r="H19" i="13"/>
  <c r="M20" i="13"/>
  <c r="N20" i="13"/>
  <c r="O20" i="13"/>
  <c r="P20" i="13"/>
  <c r="M23" i="13"/>
  <c r="O23" i="13"/>
  <c r="M24" i="13"/>
  <c r="N24" i="13"/>
  <c r="O24" i="13"/>
  <c r="P24" i="13"/>
  <c r="E25" i="13"/>
  <c r="M25" i="13"/>
  <c r="N25" i="13"/>
  <c r="O25" i="13"/>
  <c r="P25" i="13"/>
  <c r="E26" i="13"/>
  <c r="M26" i="13"/>
  <c r="N26" i="13"/>
  <c r="O26" i="13"/>
  <c r="P26" i="13"/>
  <c r="M27" i="13"/>
  <c r="I27" i="13"/>
  <c r="N27" i="13"/>
  <c r="O27" i="13"/>
  <c r="P27" i="13"/>
  <c r="H28" i="13"/>
  <c r="M28" i="13"/>
  <c r="N28" i="13"/>
  <c r="O28" i="13"/>
  <c r="P28" i="13"/>
  <c r="H29" i="13"/>
  <c r="M29" i="13"/>
  <c r="N29" i="13"/>
  <c r="O29" i="13"/>
  <c r="P29" i="13"/>
  <c r="M30" i="13"/>
  <c r="N30" i="13"/>
  <c r="O30" i="13"/>
  <c r="P30" i="13"/>
  <c r="N31" i="13"/>
  <c r="O31" i="13"/>
  <c r="H32" i="13"/>
  <c r="E32" i="13"/>
  <c r="M32" i="13"/>
  <c r="N32" i="13"/>
  <c r="O32" i="13"/>
  <c r="P32" i="13"/>
  <c r="H33" i="13"/>
  <c r="M33" i="13"/>
  <c r="I33" i="13"/>
  <c r="N33" i="13"/>
  <c r="O33" i="13"/>
  <c r="P33" i="13"/>
  <c r="H34" i="13"/>
  <c r="E34" i="13"/>
  <c r="M34" i="13"/>
  <c r="N34" i="13"/>
  <c r="O34" i="13"/>
  <c r="P34" i="13"/>
  <c r="H35" i="13"/>
  <c r="E35" i="13"/>
  <c r="M35" i="13"/>
  <c r="N35" i="13"/>
  <c r="O35" i="13"/>
  <c r="P35" i="13"/>
  <c r="H36" i="13"/>
  <c r="E36" i="13"/>
  <c r="M36" i="13"/>
  <c r="N36" i="13"/>
  <c r="O36" i="13"/>
  <c r="P36" i="13"/>
  <c r="H37" i="13"/>
  <c r="E37" i="13"/>
  <c r="M37" i="13"/>
  <c r="N37" i="13"/>
  <c r="O37" i="13"/>
  <c r="P37" i="13"/>
  <c r="E38" i="13"/>
  <c r="N38" i="13"/>
  <c r="O38" i="13"/>
  <c r="H39" i="13"/>
  <c r="E39" i="13"/>
  <c r="M39" i="13"/>
  <c r="N39" i="13"/>
  <c r="O39" i="13"/>
  <c r="P39" i="13"/>
  <c r="H40" i="13"/>
  <c r="E40" i="13"/>
  <c r="M40" i="13"/>
  <c r="N40" i="13"/>
  <c r="O40" i="13"/>
  <c r="P40" i="13"/>
  <c r="H41" i="13"/>
  <c r="E41" i="13"/>
  <c r="M41" i="13"/>
  <c r="N41" i="13"/>
  <c r="O41" i="13"/>
  <c r="P41" i="13"/>
  <c r="H42" i="13"/>
  <c r="E42" i="13"/>
  <c r="M42" i="13"/>
  <c r="N42" i="13"/>
  <c r="O42" i="13"/>
  <c r="P42" i="13"/>
  <c r="H43" i="13"/>
  <c r="E43" i="13"/>
  <c r="M43" i="13"/>
  <c r="N43" i="13"/>
  <c r="O43" i="13"/>
  <c r="P43" i="13"/>
  <c r="H44" i="13"/>
  <c r="E44" i="13"/>
  <c r="M44" i="13"/>
  <c r="N44" i="13"/>
  <c r="O44" i="13"/>
  <c r="P44" i="13"/>
  <c r="H45" i="13"/>
  <c r="M45" i="13"/>
  <c r="N45" i="13"/>
  <c r="O45" i="13"/>
  <c r="P45" i="13"/>
  <c r="H46" i="13"/>
  <c r="M46" i="13"/>
  <c r="N46" i="13"/>
  <c r="O46" i="13"/>
  <c r="P46" i="13"/>
  <c r="H47" i="13"/>
  <c r="M47" i="13"/>
  <c r="N47" i="13"/>
  <c r="O47" i="13"/>
  <c r="P47" i="13"/>
  <c r="H48" i="13"/>
  <c r="H49" i="13"/>
  <c r="H50" i="13"/>
  <c r="H51" i="13"/>
  <c r="H52" i="13"/>
  <c r="M52" i="13"/>
  <c r="N52" i="13"/>
  <c r="O52" i="13"/>
  <c r="P52" i="13"/>
  <c r="H53" i="13"/>
  <c r="M53" i="13"/>
  <c r="N53" i="13"/>
  <c r="O53" i="13"/>
  <c r="P53" i="13"/>
  <c r="H54" i="13"/>
  <c r="E54" i="13"/>
  <c r="M54" i="13"/>
  <c r="N54" i="13"/>
  <c r="O54" i="13"/>
  <c r="P54" i="13"/>
  <c r="H55" i="13"/>
  <c r="M55" i="13"/>
  <c r="N55" i="13"/>
  <c r="O55" i="13"/>
  <c r="P55" i="13"/>
  <c r="P16" i="69"/>
  <c r="O16" i="69"/>
  <c r="N16" i="69"/>
  <c r="M16" i="69"/>
  <c r="C13" i="69"/>
  <c r="N106" i="69"/>
  <c r="C106" i="69"/>
  <c r="N105" i="69"/>
  <c r="C105" i="69"/>
  <c r="M104" i="69"/>
  <c r="A100" i="69"/>
  <c r="P13" i="69"/>
  <c r="O13" i="69"/>
  <c r="N13" i="69"/>
  <c r="M13" i="69"/>
  <c r="L13" i="69"/>
  <c r="M9" i="69"/>
  <c r="A7" i="69"/>
  <c r="E6" i="69"/>
  <c r="C6" i="69"/>
  <c r="E5" i="69"/>
  <c r="E4" i="69"/>
  <c r="E3" i="69"/>
  <c r="A2" i="69"/>
  <c r="I1" i="69"/>
  <c r="P97" i="69"/>
  <c r="H33" i="33"/>
  <c r="L16" i="69"/>
  <c r="Q16" i="69"/>
  <c r="O97" i="69"/>
  <c r="G33" i="33"/>
  <c r="Q13" i="69"/>
  <c r="N97" i="69"/>
  <c r="F33" i="33"/>
  <c r="L161" i="10"/>
  <c r="K161" i="10"/>
  <c r="L160" i="10"/>
  <c r="K160" i="10"/>
  <c r="K158" i="10"/>
  <c r="L157" i="10"/>
  <c r="L156" i="10"/>
  <c r="L155" i="10"/>
  <c r="L154" i="10"/>
  <c r="L153" i="10"/>
  <c r="K152" i="10"/>
  <c r="L152" i="10"/>
  <c r="L151" i="10"/>
  <c r="K151" i="10"/>
  <c r="L150" i="10"/>
  <c r="K150" i="10"/>
  <c r="L149" i="10"/>
  <c r="L148" i="10"/>
  <c r="L175" i="10"/>
  <c r="K175" i="10"/>
  <c r="L174" i="10"/>
  <c r="K174" i="10"/>
  <c r="L171" i="10"/>
  <c r="L168" i="10"/>
  <c r="L167" i="10"/>
  <c r="L165" i="10"/>
  <c r="L164" i="10"/>
  <c r="L162" i="10"/>
  <c r="L189" i="10"/>
  <c r="K189" i="10"/>
  <c r="L188" i="10"/>
  <c r="L181" i="10"/>
  <c r="L179" i="10"/>
  <c r="L178" i="10"/>
  <c r="K177" i="10"/>
  <c r="L177" i="10"/>
  <c r="L176" i="10"/>
  <c r="L203" i="10"/>
  <c r="K203" i="10"/>
  <c r="L202" i="10"/>
  <c r="K202" i="10"/>
  <c r="L196" i="10"/>
  <c r="L195" i="10"/>
  <c r="L192" i="10"/>
  <c r="K191" i="10"/>
  <c r="L190" i="10"/>
  <c r="K190" i="10"/>
  <c r="K162" i="10"/>
  <c r="K157" i="10"/>
  <c r="L159" i="10"/>
  <c r="K188" i="10"/>
  <c r="K149" i="10"/>
  <c r="K176" i="10"/>
  <c r="L182" i="10"/>
  <c r="K163" i="10"/>
  <c r="L158" i="10"/>
  <c r="K159" i="10"/>
  <c r="L185" i="10"/>
  <c r="K148" i="10"/>
  <c r="K155" i="10"/>
  <c r="K156" i="10"/>
  <c r="K153" i="10"/>
  <c r="K154" i="10"/>
  <c r="L166" i="10"/>
  <c r="L173" i="10"/>
  <c r="L170" i="10"/>
  <c r="K164" i="10"/>
  <c r="K165" i="10"/>
  <c r="K166" i="10"/>
  <c r="K167" i="10"/>
  <c r="K168" i="10"/>
  <c r="K169" i="10"/>
  <c r="K170" i="10"/>
  <c r="K171" i="10"/>
  <c r="K172" i="10"/>
  <c r="K173" i="10"/>
  <c r="L163" i="10"/>
  <c r="L180" i="10"/>
  <c r="L187" i="10"/>
  <c r="L184" i="10"/>
  <c r="K178" i="10"/>
  <c r="K179" i="10"/>
  <c r="K180" i="10"/>
  <c r="K181" i="10"/>
  <c r="K182" i="10"/>
  <c r="K183" i="10"/>
  <c r="K184" i="10"/>
  <c r="K185" i="10"/>
  <c r="K186" i="10"/>
  <c r="K187" i="10"/>
  <c r="L199" i="10"/>
  <c r="L193" i="10"/>
  <c r="L201" i="10"/>
  <c r="L198" i="10"/>
  <c r="K192" i="10"/>
  <c r="K193" i="10"/>
  <c r="K194" i="10"/>
  <c r="K196" i="10"/>
  <c r="K197" i="10"/>
  <c r="K198" i="10"/>
  <c r="K199" i="10"/>
  <c r="K200" i="10"/>
  <c r="K201" i="10"/>
  <c r="L191" i="10"/>
  <c r="K195" i="10"/>
  <c r="L194" i="10"/>
  <c r="L172" i="10"/>
  <c r="L169" i="10"/>
  <c r="L186" i="10"/>
  <c r="L183" i="10"/>
  <c r="L200" i="10"/>
  <c r="L197" i="10"/>
  <c r="P40" i="56"/>
  <c r="O40" i="56"/>
  <c r="N40" i="56"/>
  <c r="Q40" i="56"/>
  <c r="M40" i="56"/>
  <c r="L40" i="56"/>
  <c r="P39" i="56"/>
  <c r="O39" i="56"/>
  <c r="N39" i="56"/>
  <c r="Q39" i="56"/>
  <c r="M39" i="56"/>
  <c r="L39" i="56"/>
  <c r="P38" i="56"/>
  <c r="Q38" i="56"/>
  <c r="O38" i="56"/>
  <c r="N38" i="56"/>
  <c r="M38" i="56"/>
  <c r="L38" i="56"/>
  <c r="P37" i="56"/>
  <c r="O37" i="56"/>
  <c r="N37" i="56"/>
  <c r="Q37" i="56"/>
  <c r="M37" i="56"/>
  <c r="L37" i="56"/>
  <c r="P36" i="56"/>
  <c r="O36" i="56"/>
  <c r="N36" i="56"/>
  <c r="Q36" i="56"/>
  <c r="M36" i="56"/>
  <c r="L36" i="56"/>
  <c r="P35" i="56"/>
  <c r="O35" i="56"/>
  <c r="N35" i="56"/>
  <c r="Q35" i="56"/>
  <c r="M35" i="56"/>
  <c r="L35" i="56"/>
  <c r="P34" i="56"/>
  <c r="O34" i="56"/>
  <c r="N34" i="56"/>
  <c r="Q34" i="56"/>
  <c r="M34" i="56"/>
  <c r="L34" i="56"/>
  <c r="P33" i="56"/>
  <c r="O33" i="56"/>
  <c r="N33" i="56"/>
  <c r="Q33" i="56"/>
  <c r="M33" i="56"/>
  <c r="L33" i="56"/>
  <c r="P32" i="56"/>
  <c r="O32" i="56"/>
  <c r="N32" i="56"/>
  <c r="Q32" i="56"/>
  <c r="M32" i="56"/>
  <c r="L32" i="56"/>
  <c r="P31" i="56"/>
  <c r="O31" i="56"/>
  <c r="N31" i="56"/>
  <c r="Q31" i="56"/>
  <c r="M31" i="56"/>
  <c r="L31" i="56"/>
  <c r="P30" i="56"/>
  <c r="O30" i="56"/>
  <c r="N30" i="56"/>
  <c r="Q30" i="56"/>
  <c r="M30" i="56"/>
  <c r="L30" i="56"/>
  <c r="P29" i="56"/>
  <c r="O29" i="56"/>
  <c r="N29" i="56"/>
  <c r="Q29" i="56"/>
  <c r="M29" i="56"/>
  <c r="L29" i="56"/>
  <c r="P28" i="56"/>
  <c r="O28" i="56"/>
  <c r="N28" i="56"/>
  <c r="Q28" i="56"/>
  <c r="M28" i="56"/>
  <c r="L28" i="56"/>
  <c r="P27" i="56"/>
  <c r="O27" i="56"/>
  <c r="N27" i="56"/>
  <c r="Q27" i="56"/>
  <c r="M27" i="56"/>
  <c r="L27" i="56"/>
  <c r="P26" i="56"/>
  <c r="O26" i="56"/>
  <c r="N26" i="56"/>
  <c r="Q26" i="56"/>
  <c r="M26" i="56"/>
  <c r="L26" i="56"/>
  <c r="P25" i="56"/>
  <c r="O25" i="56"/>
  <c r="N25" i="56"/>
  <c r="Q25" i="56"/>
  <c r="M25" i="56"/>
  <c r="L25" i="56"/>
  <c r="P24" i="56"/>
  <c r="O24" i="56"/>
  <c r="N24" i="56"/>
  <c r="Q24" i="56"/>
  <c r="M24" i="56"/>
  <c r="L24" i="56"/>
  <c r="P23" i="56"/>
  <c r="O23" i="56"/>
  <c r="N23" i="56"/>
  <c r="Q23" i="56"/>
  <c r="M23" i="56"/>
  <c r="L23" i="56"/>
  <c r="P22" i="56"/>
  <c r="O22" i="56"/>
  <c r="N22" i="56"/>
  <c r="Q22" i="56"/>
  <c r="M22" i="56"/>
  <c r="L22" i="56"/>
  <c r="P21" i="56"/>
  <c r="O21" i="56"/>
  <c r="N21" i="56"/>
  <c r="Q21" i="56"/>
  <c r="M21" i="56"/>
  <c r="L21" i="56"/>
  <c r="P20" i="56"/>
  <c r="O20" i="56"/>
  <c r="N20" i="56"/>
  <c r="Q20" i="56"/>
  <c r="M20" i="56"/>
  <c r="L20" i="56"/>
  <c r="P19" i="56"/>
  <c r="O19" i="56"/>
  <c r="N19" i="56"/>
  <c r="Q19" i="56"/>
  <c r="M19" i="56"/>
  <c r="L19" i="56"/>
  <c r="P18" i="56"/>
  <c r="O18" i="56"/>
  <c r="N18" i="56"/>
  <c r="Q18" i="56"/>
  <c r="M18" i="56"/>
  <c r="L18" i="56"/>
  <c r="P17" i="56"/>
  <c r="O17" i="56"/>
  <c r="N17" i="56"/>
  <c r="Q17" i="56"/>
  <c r="M17" i="56"/>
  <c r="L17" i="56"/>
  <c r="P16" i="56"/>
  <c r="O16" i="56"/>
  <c r="N16" i="56"/>
  <c r="Q16" i="56"/>
  <c r="M16" i="56"/>
  <c r="L16" i="56"/>
  <c r="P15" i="56"/>
  <c r="O15" i="56"/>
  <c r="N15" i="56"/>
  <c r="Q15" i="56"/>
  <c r="M15" i="56"/>
  <c r="L15" i="56"/>
  <c r="P48" i="55"/>
  <c r="O48" i="55"/>
  <c r="N48" i="55"/>
  <c r="M48" i="55"/>
  <c r="L48" i="55"/>
  <c r="P47" i="55"/>
  <c r="O47" i="55"/>
  <c r="N47" i="55"/>
  <c r="Q47" i="55"/>
  <c r="M47" i="55"/>
  <c r="L47" i="55"/>
  <c r="P46" i="55"/>
  <c r="O46" i="55"/>
  <c r="N46" i="55"/>
  <c r="Q46" i="55"/>
  <c r="M46" i="55"/>
  <c r="L46" i="55"/>
  <c r="P45" i="55"/>
  <c r="O45" i="55"/>
  <c r="N45" i="55"/>
  <c r="Q45" i="55"/>
  <c r="M45" i="55"/>
  <c r="L45" i="55"/>
  <c r="P44" i="55"/>
  <c r="O44" i="55"/>
  <c r="N44" i="55"/>
  <c r="Q44" i="55"/>
  <c r="M44" i="55"/>
  <c r="L44" i="55"/>
  <c r="P43" i="55"/>
  <c r="O43" i="55"/>
  <c r="N43" i="55"/>
  <c r="Q43" i="55"/>
  <c r="M43" i="55"/>
  <c r="L43" i="55"/>
  <c r="P42" i="55"/>
  <c r="O42" i="55"/>
  <c r="Q42" i="55"/>
  <c r="N42" i="55"/>
  <c r="M42" i="55"/>
  <c r="L42" i="55"/>
  <c r="P41" i="55"/>
  <c r="O41" i="55"/>
  <c r="N41" i="55"/>
  <c r="Q41" i="55"/>
  <c r="M41" i="55"/>
  <c r="L41" i="55"/>
  <c r="P40" i="55"/>
  <c r="O40" i="55"/>
  <c r="Q40" i="55"/>
  <c r="N40" i="55"/>
  <c r="M40" i="55"/>
  <c r="L40" i="55"/>
  <c r="P39" i="55"/>
  <c r="O39" i="55"/>
  <c r="N39" i="55"/>
  <c r="Q39" i="55"/>
  <c r="M39" i="55"/>
  <c r="L39" i="55"/>
  <c r="P38" i="55"/>
  <c r="O38" i="55"/>
  <c r="Q38" i="55"/>
  <c r="N38" i="55"/>
  <c r="M38" i="55"/>
  <c r="L38" i="55"/>
  <c r="P37" i="55"/>
  <c r="O37" i="55"/>
  <c r="N37" i="55"/>
  <c r="Q37" i="55"/>
  <c r="M37" i="55"/>
  <c r="L37" i="55"/>
  <c r="P36" i="55"/>
  <c r="O36" i="55"/>
  <c r="Q36" i="55"/>
  <c r="N36" i="55"/>
  <c r="M36" i="55"/>
  <c r="L36" i="55"/>
  <c r="P35" i="55"/>
  <c r="O35" i="55"/>
  <c r="N35" i="55"/>
  <c r="Q35" i="55"/>
  <c r="M35" i="55"/>
  <c r="L35" i="55"/>
  <c r="P34" i="55"/>
  <c r="O34" i="55"/>
  <c r="Q34" i="55"/>
  <c r="N34" i="55"/>
  <c r="M34" i="55"/>
  <c r="L34" i="55"/>
  <c r="P33" i="55"/>
  <c r="Q33" i="55"/>
  <c r="O33" i="55"/>
  <c r="N33" i="55"/>
  <c r="M33" i="55"/>
  <c r="L33" i="55"/>
  <c r="P32" i="55"/>
  <c r="O32" i="55"/>
  <c r="Q32" i="55"/>
  <c r="N32" i="55"/>
  <c r="M32" i="55"/>
  <c r="L32" i="55"/>
  <c r="P31" i="55"/>
  <c r="Q31" i="55"/>
  <c r="O31" i="55"/>
  <c r="N31" i="55"/>
  <c r="M31" i="55"/>
  <c r="L31" i="55"/>
  <c r="P30" i="55"/>
  <c r="O30" i="55"/>
  <c r="Q30" i="55"/>
  <c r="N30" i="55"/>
  <c r="M30" i="55"/>
  <c r="L30" i="55"/>
  <c r="P29" i="55"/>
  <c r="Q29" i="55"/>
  <c r="O29" i="55"/>
  <c r="N29" i="55"/>
  <c r="M29" i="55"/>
  <c r="L29" i="55"/>
  <c r="P28" i="55"/>
  <c r="O28" i="55"/>
  <c r="Q28" i="55"/>
  <c r="N28" i="55"/>
  <c r="M28" i="55"/>
  <c r="L28" i="55"/>
  <c r="P27" i="55"/>
  <c r="Q27" i="55"/>
  <c r="O27" i="55"/>
  <c r="N27" i="55"/>
  <c r="M27" i="55"/>
  <c r="L27" i="55"/>
  <c r="P26" i="55"/>
  <c r="O26" i="55"/>
  <c r="Q26" i="55"/>
  <c r="N26" i="55"/>
  <c r="M26" i="55"/>
  <c r="L26" i="55"/>
  <c r="P25" i="55"/>
  <c r="O25" i="55"/>
  <c r="N25" i="55"/>
  <c r="Q25" i="55"/>
  <c r="M25" i="55"/>
  <c r="L25" i="55"/>
  <c r="P24" i="55"/>
  <c r="O24" i="55"/>
  <c r="Q24" i="55"/>
  <c r="N24" i="55"/>
  <c r="M24" i="55"/>
  <c r="L24" i="55"/>
  <c r="P23" i="55"/>
  <c r="O23" i="55"/>
  <c r="N23" i="55"/>
  <c r="Q23" i="55"/>
  <c r="M23" i="55"/>
  <c r="L23" i="55"/>
  <c r="P22" i="55"/>
  <c r="O22" i="55"/>
  <c r="N22" i="55"/>
  <c r="Q22" i="55"/>
  <c r="M22" i="55"/>
  <c r="L22" i="55"/>
  <c r="P21" i="55"/>
  <c r="O21" i="55"/>
  <c r="N21" i="55"/>
  <c r="Q21" i="55"/>
  <c r="M21" i="55"/>
  <c r="L21" i="55"/>
  <c r="P20" i="55"/>
  <c r="O20" i="55"/>
  <c r="N20" i="55"/>
  <c r="Q20" i="55"/>
  <c r="M20" i="55"/>
  <c r="L20" i="55"/>
  <c r="P19" i="55"/>
  <c r="O19" i="55"/>
  <c r="N19" i="55"/>
  <c r="Q19" i="55"/>
  <c r="M19" i="55"/>
  <c r="L19" i="55"/>
  <c r="P18" i="55"/>
  <c r="O18" i="55"/>
  <c r="N18" i="55"/>
  <c r="Q18" i="55"/>
  <c r="M18" i="55"/>
  <c r="L18" i="55"/>
  <c r="P17" i="55"/>
  <c r="O17" i="55"/>
  <c r="N17" i="55"/>
  <c r="Q17" i="55"/>
  <c r="M17" i="55"/>
  <c r="L17" i="55"/>
  <c r="P16" i="55"/>
  <c r="O16" i="55"/>
  <c r="N16" i="55"/>
  <c r="Q16" i="55"/>
  <c r="M16" i="55"/>
  <c r="L16" i="55"/>
  <c r="P15" i="55"/>
  <c r="O15" i="55"/>
  <c r="N15" i="55"/>
  <c r="Q15" i="55"/>
  <c r="M15" i="55"/>
  <c r="L15" i="55"/>
  <c r="P46" i="44"/>
  <c r="O46" i="44"/>
  <c r="N46" i="44"/>
  <c r="Q46" i="44" s="1"/>
  <c r="M46" i="44"/>
  <c r="L46" i="44"/>
  <c r="P45" i="44"/>
  <c r="O45" i="44"/>
  <c r="N45" i="44"/>
  <c r="Q45" i="44" s="1"/>
  <c r="M45" i="44"/>
  <c r="L45" i="44"/>
  <c r="P44" i="44"/>
  <c r="O44" i="44"/>
  <c r="N44" i="44"/>
  <c r="Q44" i="44" s="1"/>
  <c r="M44" i="44"/>
  <c r="L44" i="44"/>
  <c r="P43" i="44"/>
  <c r="O43" i="44"/>
  <c r="N43" i="44"/>
  <c r="Q43" i="44" s="1"/>
  <c r="M43" i="44"/>
  <c r="L43" i="44"/>
  <c r="P42" i="44"/>
  <c r="O42" i="44"/>
  <c r="N42" i="44"/>
  <c r="M42" i="44"/>
  <c r="L42" i="44"/>
  <c r="P41" i="44"/>
  <c r="O41" i="44"/>
  <c r="Q41" i="44" s="1"/>
  <c r="N41" i="44"/>
  <c r="M41" i="44"/>
  <c r="L41" i="44"/>
  <c r="P40" i="44"/>
  <c r="Q40" i="44" s="1"/>
  <c r="O40" i="44"/>
  <c r="N40" i="44"/>
  <c r="M40" i="44"/>
  <c r="L40" i="44"/>
  <c r="P39" i="44"/>
  <c r="O39" i="44"/>
  <c r="N39" i="44"/>
  <c r="Q39" i="44" s="1"/>
  <c r="M39" i="44"/>
  <c r="L39" i="44"/>
  <c r="P38" i="44"/>
  <c r="O38" i="44"/>
  <c r="N38" i="44"/>
  <c r="Q38" i="44" s="1"/>
  <c r="M38" i="44"/>
  <c r="L38" i="44"/>
  <c r="P37" i="44"/>
  <c r="O37" i="44"/>
  <c r="Q37" i="44" s="1"/>
  <c r="N37" i="44"/>
  <c r="M37" i="44"/>
  <c r="L37" i="44"/>
  <c r="P36" i="44"/>
  <c r="O36" i="44"/>
  <c r="N36" i="44"/>
  <c r="M36" i="44"/>
  <c r="L36" i="44"/>
  <c r="P35" i="44"/>
  <c r="O35" i="44"/>
  <c r="Q35" i="44" s="1"/>
  <c r="N35" i="44"/>
  <c r="M35" i="44"/>
  <c r="L35" i="44"/>
  <c r="P34" i="44"/>
  <c r="O34" i="44"/>
  <c r="N34" i="44"/>
  <c r="Q34" i="44" s="1"/>
  <c r="M34" i="44"/>
  <c r="L34" i="44"/>
  <c r="P33" i="44"/>
  <c r="O33" i="44"/>
  <c r="N33" i="44"/>
  <c r="M33" i="44"/>
  <c r="L33" i="44"/>
  <c r="P32" i="44"/>
  <c r="O32" i="44"/>
  <c r="N32" i="44"/>
  <c r="M32" i="44"/>
  <c r="L32" i="44"/>
  <c r="P31" i="44"/>
  <c r="O31" i="44"/>
  <c r="N31" i="44"/>
  <c r="M31" i="44"/>
  <c r="L31" i="44"/>
  <c r="P30" i="44"/>
  <c r="O30" i="44"/>
  <c r="N30" i="44"/>
  <c r="M30" i="44"/>
  <c r="L30" i="44"/>
  <c r="P29" i="44"/>
  <c r="O29" i="44"/>
  <c r="N29" i="44"/>
  <c r="M29" i="44"/>
  <c r="L29" i="44"/>
  <c r="P28" i="44"/>
  <c r="O28" i="44"/>
  <c r="N28" i="44"/>
  <c r="M28" i="44"/>
  <c r="L28" i="44"/>
  <c r="P27" i="44"/>
  <c r="O27" i="44"/>
  <c r="N27" i="44"/>
  <c r="Q27" i="44" s="1"/>
  <c r="M27" i="44"/>
  <c r="L27" i="44"/>
  <c r="P26" i="44"/>
  <c r="O26" i="44"/>
  <c r="N26" i="44"/>
  <c r="M26" i="44"/>
  <c r="L26" i="44"/>
  <c r="P25" i="44"/>
  <c r="O25" i="44"/>
  <c r="N25" i="44"/>
  <c r="M25" i="44"/>
  <c r="L25" i="44"/>
  <c r="O24" i="44"/>
  <c r="N24" i="44"/>
  <c r="M24" i="44"/>
  <c r="P23" i="44"/>
  <c r="O23" i="44"/>
  <c r="N23" i="44"/>
  <c r="Q23" i="44" s="1"/>
  <c r="M23" i="44"/>
  <c r="L23" i="44"/>
  <c r="P22" i="44"/>
  <c r="Q22" i="44" s="1"/>
  <c r="O22" i="44"/>
  <c r="N22" i="44"/>
  <c r="M22" i="44"/>
  <c r="L22" i="44"/>
  <c r="P21" i="44"/>
  <c r="O21" i="44"/>
  <c r="N21" i="44"/>
  <c r="Q21" i="44" s="1"/>
  <c r="M21" i="44"/>
  <c r="L21" i="44"/>
  <c r="P20" i="44"/>
  <c r="O20" i="44"/>
  <c r="N20" i="44"/>
  <c r="M20" i="44"/>
  <c r="L20" i="44"/>
  <c r="P19" i="44"/>
  <c r="O19" i="44"/>
  <c r="N19" i="44"/>
  <c r="M19" i="44"/>
  <c r="L19" i="44"/>
  <c r="P18" i="44"/>
  <c r="Q18" i="44" s="1"/>
  <c r="O18" i="44"/>
  <c r="N18" i="44"/>
  <c r="M18" i="44"/>
  <c r="L18" i="44"/>
  <c r="P17" i="44"/>
  <c r="O17" i="44"/>
  <c r="N17" i="44"/>
  <c r="Q17" i="44" s="1"/>
  <c r="M17" i="44"/>
  <c r="L17" i="44"/>
  <c r="P16" i="44"/>
  <c r="O16" i="44"/>
  <c r="Q16" i="44" s="1"/>
  <c r="N16" i="44"/>
  <c r="M16" i="44"/>
  <c r="L16" i="44"/>
  <c r="P15" i="44"/>
  <c r="O15" i="44"/>
  <c r="N15" i="44"/>
  <c r="M15" i="44"/>
  <c r="L15" i="44"/>
  <c r="P20" i="43"/>
  <c r="Q20" i="43"/>
  <c r="O20" i="43"/>
  <c r="N20" i="43"/>
  <c r="M20" i="43"/>
  <c r="L20" i="43"/>
  <c r="P19" i="43"/>
  <c r="O19" i="43"/>
  <c r="N19" i="43"/>
  <c r="Q19" i="43"/>
  <c r="M19" i="43"/>
  <c r="L19" i="43"/>
  <c r="P15" i="43"/>
  <c r="O15" i="43"/>
  <c r="Q15" i="43"/>
  <c r="N15" i="43"/>
  <c r="M15" i="43"/>
  <c r="L15" i="43"/>
  <c r="P14" i="43"/>
  <c r="O14" i="43"/>
  <c r="N14" i="43"/>
  <c r="M14" i="43"/>
  <c r="L14" i="43"/>
  <c r="P38" i="42"/>
  <c r="O38" i="42"/>
  <c r="N38" i="42"/>
  <c r="Q38" i="42"/>
  <c r="M38" i="42"/>
  <c r="L38" i="42"/>
  <c r="P37" i="42"/>
  <c r="O37" i="42"/>
  <c r="N37" i="42"/>
  <c r="Q37" i="42"/>
  <c r="M37" i="42"/>
  <c r="L37" i="42"/>
  <c r="P36" i="42"/>
  <c r="O36" i="42"/>
  <c r="Q36" i="42"/>
  <c r="N36" i="42"/>
  <c r="M36" i="42"/>
  <c r="L36" i="42"/>
  <c r="P35" i="42"/>
  <c r="O35" i="42"/>
  <c r="N35" i="42"/>
  <c r="Q35" i="42"/>
  <c r="M35" i="42"/>
  <c r="L35" i="42"/>
  <c r="P34" i="42"/>
  <c r="O34" i="42"/>
  <c r="Q34" i="42"/>
  <c r="N34" i="42"/>
  <c r="M34" i="42"/>
  <c r="L34" i="42"/>
  <c r="P33" i="42"/>
  <c r="O33" i="42"/>
  <c r="N33" i="42"/>
  <c r="Q33" i="42"/>
  <c r="M33" i="42"/>
  <c r="L33" i="42"/>
  <c r="P32" i="42"/>
  <c r="O32" i="42"/>
  <c r="N32" i="42"/>
  <c r="Q32" i="42"/>
  <c r="M32" i="42"/>
  <c r="L32" i="42"/>
  <c r="P31" i="42"/>
  <c r="O31" i="42"/>
  <c r="N31" i="42"/>
  <c r="Q31" i="42"/>
  <c r="M31" i="42"/>
  <c r="L31" i="42"/>
  <c r="P30" i="42"/>
  <c r="O30" i="42"/>
  <c r="N30" i="42"/>
  <c r="Q30" i="42"/>
  <c r="M30" i="42"/>
  <c r="L30" i="42"/>
  <c r="P29" i="42"/>
  <c r="O29" i="42"/>
  <c r="N29" i="42"/>
  <c r="Q29" i="42"/>
  <c r="M29" i="42"/>
  <c r="L29" i="42"/>
  <c r="P28" i="42"/>
  <c r="O28" i="42"/>
  <c r="N28" i="42"/>
  <c r="Q28" i="42"/>
  <c r="M28" i="42"/>
  <c r="L28" i="42"/>
  <c r="P27" i="42"/>
  <c r="O27" i="42"/>
  <c r="N27" i="42"/>
  <c r="Q27" i="42"/>
  <c r="M27" i="42"/>
  <c r="L27" i="42"/>
  <c r="P26" i="42"/>
  <c r="O26" i="42"/>
  <c r="N26" i="42"/>
  <c r="Q26" i="42"/>
  <c r="M26" i="42"/>
  <c r="L26" i="42"/>
  <c r="P25" i="42"/>
  <c r="O25" i="42"/>
  <c r="N25" i="42"/>
  <c r="Q25" i="42"/>
  <c r="M25" i="42"/>
  <c r="L25" i="42"/>
  <c r="P24" i="42"/>
  <c r="O24" i="42"/>
  <c r="N24" i="42"/>
  <c r="Q24" i="42"/>
  <c r="M24" i="42"/>
  <c r="L24" i="42"/>
  <c r="P23" i="42"/>
  <c r="O23" i="42"/>
  <c r="N23" i="42"/>
  <c r="Q23" i="42"/>
  <c r="M23" i="42"/>
  <c r="L23" i="42"/>
  <c r="P22" i="42"/>
  <c r="O22" i="42"/>
  <c r="N22" i="42"/>
  <c r="Q22" i="42"/>
  <c r="M22" i="42"/>
  <c r="L22" i="42"/>
  <c r="P21" i="42"/>
  <c r="O21" i="42"/>
  <c r="N21" i="42"/>
  <c r="Q21" i="42"/>
  <c r="M21" i="42"/>
  <c r="L21" i="42"/>
  <c r="P20" i="42"/>
  <c r="O20" i="42"/>
  <c r="N20" i="42"/>
  <c r="Q20" i="42"/>
  <c r="M20" i="42"/>
  <c r="L20" i="42"/>
  <c r="P19" i="42"/>
  <c r="O19" i="42"/>
  <c r="N19" i="42"/>
  <c r="Q19" i="42"/>
  <c r="M19" i="42"/>
  <c r="L19" i="42"/>
  <c r="P18" i="42"/>
  <c r="O18" i="42"/>
  <c r="N18" i="42"/>
  <c r="Q18" i="42"/>
  <c r="M18" i="42"/>
  <c r="L18" i="42"/>
  <c r="P17" i="42"/>
  <c r="O17" i="42"/>
  <c r="N17" i="42"/>
  <c r="Q17" i="42"/>
  <c r="M17" i="42"/>
  <c r="L17" i="42"/>
  <c r="P16" i="42"/>
  <c r="O16" i="42"/>
  <c r="N16" i="42"/>
  <c r="Q16" i="42"/>
  <c r="M16" i="42"/>
  <c r="L16" i="42"/>
  <c r="P15" i="42"/>
  <c r="O15" i="42"/>
  <c r="N15" i="42"/>
  <c r="Q15" i="42"/>
  <c r="M15" i="42"/>
  <c r="L15" i="42"/>
  <c r="P14" i="42"/>
  <c r="O14" i="42"/>
  <c r="N14" i="42"/>
  <c r="Q14" i="42"/>
  <c r="Q40" i="42"/>
  <c r="M14" i="42"/>
  <c r="L14" i="42"/>
  <c r="O19" i="68"/>
  <c r="N19" i="68"/>
  <c r="M19" i="68"/>
  <c r="P19" i="68"/>
  <c r="L19" i="68"/>
  <c r="K19" i="68"/>
  <c r="O18" i="68"/>
  <c r="N18" i="68"/>
  <c r="M18" i="68"/>
  <c r="P18" i="68"/>
  <c r="L18" i="68"/>
  <c r="K18" i="68"/>
  <c r="O17" i="68"/>
  <c r="N17" i="68"/>
  <c r="M17" i="68"/>
  <c r="P17" i="68"/>
  <c r="L17" i="68"/>
  <c r="K17" i="68"/>
  <c r="O16" i="68"/>
  <c r="N16" i="68"/>
  <c r="M16" i="68"/>
  <c r="P16" i="68"/>
  <c r="L16" i="68"/>
  <c r="K16" i="68"/>
  <c r="O15" i="68"/>
  <c r="N15" i="68"/>
  <c r="M15" i="68"/>
  <c r="P15" i="68"/>
  <c r="L15" i="68"/>
  <c r="K15" i="68"/>
  <c r="O14" i="68"/>
  <c r="N14" i="68"/>
  <c r="M14" i="68"/>
  <c r="P14" i="68"/>
  <c r="L14" i="68"/>
  <c r="K14" i="68"/>
  <c r="P48" i="41"/>
  <c r="O48" i="41"/>
  <c r="N48" i="41"/>
  <c r="Q48" i="41"/>
  <c r="M48" i="41"/>
  <c r="L48" i="41"/>
  <c r="P47" i="41"/>
  <c r="O47" i="41"/>
  <c r="Q47" i="41"/>
  <c r="N47" i="41"/>
  <c r="M47" i="41"/>
  <c r="L47" i="41"/>
  <c r="P46" i="41"/>
  <c r="O46" i="41"/>
  <c r="N46" i="41"/>
  <c r="M46" i="41"/>
  <c r="L46" i="41"/>
  <c r="P45" i="41"/>
  <c r="O45" i="41"/>
  <c r="N45" i="41"/>
  <c r="Q45" i="41"/>
  <c r="M45" i="41"/>
  <c r="L45" i="41"/>
  <c r="P44" i="41"/>
  <c r="O44" i="41"/>
  <c r="N44" i="41"/>
  <c r="M44" i="41"/>
  <c r="L44" i="41"/>
  <c r="P43" i="41"/>
  <c r="O43" i="41"/>
  <c r="N43" i="41"/>
  <c r="Q43" i="41"/>
  <c r="M43" i="41"/>
  <c r="L43" i="41"/>
  <c r="P42" i="41"/>
  <c r="O42" i="41"/>
  <c r="N42" i="41"/>
  <c r="M42" i="41"/>
  <c r="L42" i="41"/>
  <c r="P41" i="41"/>
  <c r="O41" i="41"/>
  <c r="N41" i="41"/>
  <c r="Q41" i="41"/>
  <c r="M41" i="41"/>
  <c r="L41" i="41"/>
  <c r="P40" i="41"/>
  <c r="O40" i="41"/>
  <c r="N40" i="41"/>
  <c r="M40" i="41"/>
  <c r="L40" i="41"/>
  <c r="P39" i="41"/>
  <c r="O39" i="41"/>
  <c r="N39" i="41"/>
  <c r="Q39" i="41"/>
  <c r="M39" i="41"/>
  <c r="L39" i="41"/>
  <c r="P38" i="41"/>
  <c r="O38" i="41"/>
  <c r="N38" i="41"/>
  <c r="M38" i="41"/>
  <c r="L38" i="41"/>
  <c r="P37" i="41"/>
  <c r="O37" i="41"/>
  <c r="N37" i="41"/>
  <c r="Q37" i="41"/>
  <c r="M37" i="41"/>
  <c r="L37" i="41"/>
  <c r="P36" i="41"/>
  <c r="O36" i="41"/>
  <c r="N36" i="41"/>
  <c r="M36" i="41"/>
  <c r="L36" i="41"/>
  <c r="P35" i="41"/>
  <c r="O35" i="41"/>
  <c r="N35" i="41"/>
  <c r="Q35" i="41"/>
  <c r="M35" i="41"/>
  <c r="L35" i="41"/>
  <c r="P34" i="41"/>
  <c r="O34" i="41"/>
  <c r="N34" i="41"/>
  <c r="M34" i="41"/>
  <c r="L34" i="41"/>
  <c r="P33" i="41"/>
  <c r="O33" i="41"/>
  <c r="N33" i="41"/>
  <c r="M33" i="41"/>
  <c r="L33" i="41"/>
  <c r="P32" i="41"/>
  <c r="O32" i="41"/>
  <c r="N32" i="41"/>
  <c r="M32" i="41"/>
  <c r="L32" i="41"/>
  <c r="P31" i="41"/>
  <c r="O31" i="41"/>
  <c r="N31" i="41"/>
  <c r="Q31" i="41"/>
  <c r="M31" i="41"/>
  <c r="L31" i="41"/>
  <c r="P30" i="41"/>
  <c r="O30" i="41"/>
  <c r="N30" i="41"/>
  <c r="M30" i="41"/>
  <c r="L30" i="41"/>
  <c r="P29" i="41"/>
  <c r="O29" i="41"/>
  <c r="N29" i="41"/>
  <c r="Q29" i="41"/>
  <c r="M29" i="41"/>
  <c r="L29" i="41"/>
  <c r="P28" i="41"/>
  <c r="O28" i="41"/>
  <c r="N28" i="41"/>
  <c r="M28" i="41"/>
  <c r="L28" i="41"/>
  <c r="P27" i="41"/>
  <c r="O27" i="41"/>
  <c r="N27" i="41"/>
  <c r="Q27" i="41"/>
  <c r="M27" i="41"/>
  <c r="L27" i="41"/>
  <c r="P26" i="41"/>
  <c r="O26" i="41"/>
  <c r="N26" i="41"/>
  <c r="M26" i="41"/>
  <c r="L26" i="41"/>
  <c r="P25" i="41"/>
  <c r="O25" i="41"/>
  <c r="N25" i="41"/>
  <c r="M25" i="41"/>
  <c r="L25" i="41"/>
  <c r="P24" i="41"/>
  <c r="O24" i="41"/>
  <c r="N24" i="41"/>
  <c r="M24" i="41"/>
  <c r="L24" i="41"/>
  <c r="P23" i="41"/>
  <c r="O23" i="41"/>
  <c r="N23" i="41"/>
  <c r="Q23" i="41"/>
  <c r="M23" i="41"/>
  <c r="L23" i="41"/>
  <c r="P22" i="41"/>
  <c r="O22" i="41"/>
  <c r="N22" i="41"/>
  <c r="M22" i="41"/>
  <c r="L22" i="41"/>
  <c r="P21" i="41"/>
  <c r="O21" i="41"/>
  <c r="N21" i="41"/>
  <c r="M21" i="41"/>
  <c r="L21" i="41"/>
  <c r="P20" i="41"/>
  <c r="O20" i="41"/>
  <c r="N20" i="41"/>
  <c r="M20" i="41"/>
  <c r="L20" i="41"/>
  <c r="P19" i="41"/>
  <c r="O19" i="41"/>
  <c r="N19" i="41"/>
  <c r="Q19" i="41"/>
  <c r="M19" i="41"/>
  <c r="L19" i="41"/>
  <c r="P18" i="41"/>
  <c r="O18" i="41"/>
  <c r="N18" i="41"/>
  <c r="M18" i="41"/>
  <c r="L18" i="41"/>
  <c r="P17" i="41"/>
  <c r="O17" i="41"/>
  <c r="N17" i="41"/>
  <c r="M17" i="41"/>
  <c r="L17" i="41"/>
  <c r="P16" i="41"/>
  <c r="O16" i="41"/>
  <c r="N16" i="41"/>
  <c r="M16" i="41"/>
  <c r="L16" i="41"/>
  <c r="P15" i="41"/>
  <c r="O15" i="41"/>
  <c r="N15" i="41"/>
  <c r="Q15" i="41"/>
  <c r="M15" i="41"/>
  <c r="L15" i="41"/>
  <c r="P14" i="41"/>
  <c r="O14" i="41"/>
  <c r="N14" i="41"/>
  <c r="M14" i="41"/>
  <c r="L14" i="41"/>
  <c r="P104" i="39"/>
  <c r="O104" i="39"/>
  <c r="N104" i="39"/>
  <c r="Q104" i="39"/>
  <c r="M104" i="39"/>
  <c r="L104" i="39"/>
  <c r="P103" i="39"/>
  <c r="O103" i="39"/>
  <c r="N103" i="39"/>
  <c r="Q103" i="39"/>
  <c r="M103" i="39"/>
  <c r="L103" i="39"/>
  <c r="P102" i="39"/>
  <c r="O102" i="39"/>
  <c r="N102" i="39"/>
  <c r="Q102" i="39"/>
  <c r="M102" i="39"/>
  <c r="L102" i="39"/>
  <c r="P101" i="39"/>
  <c r="O101" i="39"/>
  <c r="N101" i="39"/>
  <c r="Q101" i="39"/>
  <c r="M101" i="39"/>
  <c r="L101" i="39"/>
  <c r="P100" i="39"/>
  <c r="O100" i="39"/>
  <c r="N100" i="39"/>
  <c r="Q100" i="39"/>
  <c r="M100" i="39"/>
  <c r="L100" i="39"/>
  <c r="P99" i="39"/>
  <c r="O99" i="39"/>
  <c r="N99" i="39"/>
  <c r="Q99" i="39"/>
  <c r="M99" i="39"/>
  <c r="L99" i="39"/>
  <c r="P98" i="39"/>
  <c r="O98" i="39"/>
  <c r="N98" i="39"/>
  <c r="Q98" i="39"/>
  <c r="M98" i="39"/>
  <c r="L98" i="39"/>
  <c r="P97" i="39"/>
  <c r="O97" i="39"/>
  <c r="N97" i="39"/>
  <c r="Q97" i="39"/>
  <c r="M97" i="39"/>
  <c r="L97" i="39"/>
  <c r="P96" i="39"/>
  <c r="O96" i="39"/>
  <c r="N96" i="39"/>
  <c r="Q96" i="39"/>
  <c r="M96" i="39"/>
  <c r="L96" i="39"/>
  <c r="P95" i="39"/>
  <c r="O95" i="39"/>
  <c r="N95" i="39"/>
  <c r="Q95" i="39"/>
  <c r="M95" i="39"/>
  <c r="L95" i="39"/>
  <c r="P94" i="39"/>
  <c r="O94" i="39"/>
  <c r="N94" i="39"/>
  <c r="Q94" i="39"/>
  <c r="M94" i="39"/>
  <c r="L94" i="39"/>
  <c r="P93" i="39"/>
  <c r="O93" i="39"/>
  <c r="N93" i="39"/>
  <c r="Q93" i="39"/>
  <c r="M93" i="39"/>
  <c r="L93" i="39"/>
  <c r="P92" i="39"/>
  <c r="O92" i="39"/>
  <c r="N92" i="39"/>
  <c r="Q92" i="39"/>
  <c r="M92" i="39"/>
  <c r="L92" i="39"/>
  <c r="P91" i="39"/>
  <c r="O91" i="39"/>
  <c r="N91" i="39"/>
  <c r="Q91" i="39"/>
  <c r="M91" i="39"/>
  <c r="L91" i="39"/>
  <c r="P90" i="39"/>
  <c r="O90" i="39"/>
  <c r="N90" i="39"/>
  <c r="Q90" i="39"/>
  <c r="M90" i="39"/>
  <c r="L90" i="39"/>
  <c r="P89" i="39"/>
  <c r="O89" i="39"/>
  <c r="N89" i="39"/>
  <c r="Q89" i="39"/>
  <c r="M89" i="39"/>
  <c r="L89" i="39"/>
  <c r="P88" i="39"/>
  <c r="O88" i="39"/>
  <c r="N88" i="39"/>
  <c r="Q88" i="39"/>
  <c r="M88" i="39"/>
  <c r="L88" i="39"/>
  <c r="P87" i="39"/>
  <c r="O87" i="39"/>
  <c r="N87" i="39"/>
  <c r="Q87" i="39"/>
  <c r="M87" i="39"/>
  <c r="L87" i="39"/>
  <c r="P86" i="39"/>
  <c r="O86" i="39"/>
  <c r="N86" i="39"/>
  <c r="Q86" i="39"/>
  <c r="M86" i="39"/>
  <c r="L86" i="39"/>
  <c r="P85" i="39"/>
  <c r="O85" i="39"/>
  <c r="N85" i="39"/>
  <c r="Q85" i="39"/>
  <c r="M85" i="39"/>
  <c r="L85" i="39"/>
  <c r="P84" i="39"/>
  <c r="O84" i="39"/>
  <c r="N84" i="39"/>
  <c r="Q84" i="39"/>
  <c r="M84" i="39"/>
  <c r="L84" i="39"/>
  <c r="P83" i="39"/>
  <c r="O83" i="39"/>
  <c r="N83" i="39"/>
  <c r="Q83" i="39"/>
  <c r="M83" i="39"/>
  <c r="L83" i="39"/>
  <c r="P82" i="39"/>
  <c r="O82" i="39"/>
  <c r="N82" i="39"/>
  <c r="Q82" i="39"/>
  <c r="M82" i="39"/>
  <c r="L82" i="39"/>
  <c r="P81" i="39"/>
  <c r="O81" i="39"/>
  <c r="N81" i="39"/>
  <c r="Q81" i="39"/>
  <c r="M81" i="39"/>
  <c r="L81" i="39"/>
  <c r="P80" i="39"/>
  <c r="O80" i="39"/>
  <c r="N80" i="39"/>
  <c r="Q80" i="39"/>
  <c r="M80" i="39"/>
  <c r="L80" i="39"/>
  <c r="P79" i="39"/>
  <c r="O79" i="39"/>
  <c r="N79" i="39"/>
  <c r="Q79" i="39"/>
  <c r="M79" i="39"/>
  <c r="L79" i="39"/>
  <c r="P78" i="39"/>
  <c r="O78" i="39"/>
  <c r="N78" i="39"/>
  <c r="Q78" i="39"/>
  <c r="M78" i="39"/>
  <c r="L78" i="39"/>
  <c r="P77" i="39"/>
  <c r="O77" i="39"/>
  <c r="N77" i="39"/>
  <c r="Q77" i="39"/>
  <c r="M77" i="39"/>
  <c r="L77" i="39"/>
  <c r="P76" i="39"/>
  <c r="O76" i="39"/>
  <c r="N76" i="39"/>
  <c r="Q76" i="39"/>
  <c r="M76" i="39"/>
  <c r="L76" i="39"/>
  <c r="P75" i="39"/>
  <c r="O75" i="39"/>
  <c r="N75" i="39"/>
  <c r="Q75" i="39"/>
  <c r="M75" i="39"/>
  <c r="L75" i="39"/>
  <c r="P74" i="39"/>
  <c r="O74" i="39"/>
  <c r="N74" i="39"/>
  <c r="Q74" i="39"/>
  <c r="M74" i="39"/>
  <c r="L74" i="39"/>
  <c r="P73" i="39"/>
  <c r="O73" i="39"/>
  <c r="N73" i="39"/>
  <c r="Q73" i="39"/>
  <c r="M73" i="39"/>
  <c r="L73" i="39"/>
  <c r="P72" i="39"/>
  <c r="O72" i="39"/>
  <c r="N72" i="39"/>
  <c r="Q72" i="39"/>
  <c r="M72" i="39"/>
  <c r="L72" i="39"/>
  <c r="P71" i="39"/>
  <c r="O71" i="39"/>
  <c r="N71" i="39"/>
  <c r="Q71" i="39"/>
  <c r="M71" i="39"/>
  <c r="L71" i="39"/>
  <c r="P70" i="39"/>
  <c r="O70" i="39"/>
  <c r="N70" i="39"/>
  <c r="Q70" i="39"/>
  <c r="M70" i="39"/>
  <c r="L70" i="39"/>
  <c r="P69" i="39"/>
  <c r="O69" i="39"/>
  <c r="N69" i="39"/>
  <c r="Q69" i="39"/>
  <c r="M69" i="39"/>
  <c r="L69" i="39"/>
  <c r="P68" i="39"/>
  <c r="O68" i="39"/>
  <c r="N68" i="39"/>
  <c r="Q68" i="39"/>
  <c r="M68" i="39"/>
  <c r="L68" i="39"/>
  <c r="P67" i="39"/>
  <c r="O67" i="39"/>
  <c r="N67" i="39"/>
  <c r="Q67" i="39"/>
  <c r="M67" i="39"/>
  <c r="L67" i="39"/>
  <c r="P66" i="39"/>
  <c r="O66" i="39"/>
  <c r="N66" i="39"/>
  <c r="Q66" i="39"/>
  <c r="M66" i="39"/>
  <c r="L66" i="39"/>
  <c r="P65" i="39"/>
  <c r="O65" i="39"/>
  <c r="N65" i="39"/>
  <c r="Q65" i="39"/>
  <c r="M65" i="39"/>
  <c r="L65" i="39"/>
  <c r="P64" i="39"/>
  <c r="O64" i="39"/>
  <c r="N64" i="39"/>
  <c r="Q64" i="39"/>
  <c r="M64" i="39"/>
  <c r="L64" i="39"/>
  <c r="P63" i="39"/>
  <c r="O63" i="39"/>
  <c r="N63" i="39"/>
  <c r="Q63" i="39"/>
  <c r="M63" i="39"/>
  <c r="L63" i="39"/>
  <c r="P62" i="39"/>
  <c r="O62" i="39"/>
  <c r="N62" i="39"/>
  <c r="Q62" i="39"/>
  <c r="M62" i="39"/>
  <c r="L62" i="39"/>
  <c r="P61" i="39"/>
  <c r="O61" i="39"/>
  <c r="N61" i="39"/>
  <c r="Q61" i="39"/>
  <c r="M61" i="39"/>
  <c r="L61" i="39"/>
  <c r="P60" i="39"/>
  <c r="O60" i="39"/>
  <c r="N60" i="39"/>
  <c r="Q60" i="39"/>
  <c r="M60" i="39"/>
  <c r="L60" i="39"/>
  <c r="P59" i="39"/>
  <c r="O59" i="39"/>
  <c r="N59" i="39"/>
  <c r="Q59" i="39"/>
  <c r="M59" i="39"/>
  <c r="L59" i="39"/>
  <c r="P58" i="39"/>
  <c r="O58" i="39"/>
  <c r="N58" i="39"/>
  <c r="Q58" i="39"/>
  <c r="M58" i="39"/>
  <c r="L58" i="39"/>
  <c r="P57" i="39"/>
  <c r="O57" i="39"/>
  <c r="N57" i="39"/>
  <c r="Q57" i="39"/>
  <c r="M57" i="39"/>
  <c r="L57" i="39"/>
  <c r="P56" i="39"/>
  <c r="O56" i="39"/>
  <c r="N56" i="39"/>
  <c r="Q56" i="39"/>
  <c r="M56" i="39"/>
  <c r="L56" i="39"/>
  <c r="P55" i="39"/>
  <c r="O55" i="39"/>
  <c r="N55" i="39"/>
  <c r="Q55" i="39"/>
  <c r="M55" i="39"/>
  <c r="L55" i="39"/>
  <c r="P54" i="39"/>
  <c r="O54" i="39"/>
  <c r="N54" i="39"/>
  <c r="Q54" i="39"/>
  <c r="M54" i="39"/>
  <c r="L54" i="39"/>
  <c r="P53" i="39"/>
  <c r="O53" i="39"/>
  <c r="N53" i="39"/>
  <c r="Q53" i="39"/>
  <c r="M53" i="39"/>
  <c r="L53" i="39"/>
  <c r="P52" i="39"/>
  <c r="O52" i="39"/>
  <c r="N52" i="39"/>
  <c r="Q52" i="39"/>
  <c r="M52" i="39"/>
  <c r="L52" i="39"/>
  <c r="P51" i="39"/>
  <c r="O51" i="39"/>
  <c r="N51" i="39"/>
  <c r="Q51" i="39"/>
  <c r="M51" i="39"/>
  <c r="L51" i="39"/>
  <c r="P50" i="39"/>
  <c r="O50" i="39"/>
  <c r="N50" i="39"/>
  <c r="Q50" i="39"/>
  <c r="M50" i="39"/>
  <c r="L50" i="39"/>
  <c r="P49" i="39"/>
  <c r="O49" i="39"/>
  <c r="N49" i="39"/>
  <c r="Q49" i="39"/>
  <c r="M49" i="39"/>
  <c r="L49" i="39"/>
  <c r="P48" i="39"/>
  <c r="O48" i="39"/>
  <c r="N48" i="39"/>
  <c r="Q48" i="39"/>
  <c r="M48" i="39"/>
  <c r="L48" i="39"/>
  <c r="P47" i="39"/>
  <c r="O47" i="39"/>
  <c r="Q47" i="39"/>
  <c r="N47" i="39"/>
  <c r="M47" i="39"/>
  <c r="L47" i="39"/>
  <c r="P46" i="39"/>
  <c r="O46" i="39"/>
  <c r="N46" i="39"/>
  <c r="Q46" i="39"/>
  <c r="M46" i="39"/>
  <c r="L46" i="39"/>
  <c r="Q45" i="39"/>
  <c r="P45" i="39"/>
  <c r="O45" i="39"/>
  <c r="N45" i="39"/>
  <c r="M45" i="39"/>
  <c r="L45" i="39"/>
  <c r="P44" i="39"/>
  <c r="O44" i="39"/>
  <c r="Q44" i="39"/>
  <c r="N44" i="39"/>
  <c r="M44" i="39"/>
  <c r="L44" i="39"/>
  <c r="P43" i="39"/>
  <c r="Q43" i="39"/>
  <c r="O43" i="39"/>
  <c r="N43" i="39"/>
  <c r="M43" i="39"/>
  <c r="L43" i="39"/>
  <c r="P42" i="39"/>
  <c r="Q42" i="39"/>
  <c r="O42" i="39"/>
  <c r="N42" i="39"/>
  <c r="M42" i="39"/>
  <c r="L42" i="39"/>
  <c r="P41" i="39"/>
  <c r="O41" i="39"/>
  <c r="Q41" i="39"/>
  <c r="N41" i="39"/>
  <c r="M41" i="39"/>
  <c r="L41" i="39"/>
  <c r="P40" i="39"/>
  <c r="Q40" i="39"/>
  <c r="O40" i="39"/>
  <c r="N40" i="39"/>
  <c r="M40" i="39"/>
  <c r="L40" i="39"/>
  <c r="P39" i="39"/>
  <c r="O39" i="39"/>
  <c r="Q39" i="39"/>
  <c r="N39" i="39"/>
  <c r="M39" i="39"/>
  <c r="L39" i="39"/>
  <c r="P38" i="39"/>
  <c r="Q38" i="39"/>
  <c r="O38" i="39"/>
  <c r="N38" i="39"/>
  <c r="M38" i="39"/>
  <c r="L38" i="39"/>
  <c r="P37" i="39"/>
  <c r="O37" i="39"/>
  <c r="Q37" i="39"/>
  <c r="N37" i="39"/>
  <c r="M37" i="39"/>
  <c r="L37" i="39"/>
  <c r="P36" i="39"/>
  <c r="Q36" i="39"/>
  <c r="O36" i="39"/>
  <c r="N36" i="39"/>
  <c r="M36" i="39"/>
  <c r="L36" i="39"/>
  <c r="P35" i="39"/>
  <c r="O35" i="39"/>
  <c r="Q35" i="39"/>
  <c r="N35" i="39"/>
  <c r="M35" i="39"/>
  <c r="L35" i="39"/>
  <c r="P34" i="39"/>
  <c r="Q34" i="39"/>
  <c r="O34" i="39"/>
  <c r="N34" i="39"/>
  <c r="M34" i="39"/>
  <c r="L34" i="39"/>
  <c r="P33" i="39"/>
  <c r="O33" i="39"/>
  <c r="Q33" i="39"/>
  <c r="N33" i="39"/>
  <c r="M33" i="39"/>
  <c r="L33" i="39"/>
  <c r="P32" i="39"/>
  <c r="Q32" i="39"/>
  <c r="O32" i="39"/>
  <c r="N32" i="39"/>
  <c r="M32" i="39"/>
  <c r="L32" i="39"/>
  <c r="P31" i="39"/>
  <c r="O31" i="39"/>
  <c r="Q31" i="39"/>
  <c r="N31" i="39"/>
  <c r="M31" i="39"/>
  <c r="L31" i="39"/>
  <c r="P30" i="39"/>
  <c r="Q30" i="39"/>
  <c r="O30" i="39"/>
  <c r="N30" i="39"/>
  <c r="M30" i="39"/>
  <c r="L30" i="39"/>
  <c r="P29" i="39"/>
  <c r="O29" i="39"/>
  <c r="Q29" i="39"/>
  <c r="N29" i="39"/>
  <c r="M29" i="39"/>
  <c r="L29" i="39"/>
  <c r="P28" i="39"/>
  <c r="Q28" i="39"/>
  <c r="O28" i="39"/>
  <c r="N28" i="39"/>
  <c r="M28" i="39"/>
  <c r="L28" i="39"/>
  <c r="P27" i="39"/>
  <c r="O27" i="39"/>
  <c r="Q27" i="39"/>
  <c r="N27" i="39"/>
  <c r="M27" i="39"/>
  <c r="L27" i="39"/>
  <c r="P26" i="39"/>
  <c r="Q26" i="39"/>
  <c r="O26" i="39"/>
  <c r="N26" i="39"/>
  <c r="M26" i="39"/>
  <c r="L26" i="39"/>
  <c r="P25" i="39"/>
  <c r="O25" i="39"/>
  <c r="Q25" i="39"/>
  <c r="N25" i="39"/>
  <c r="M25" i="39"/>
  <c r="L25" i="39"/>
  <c r="P24" i="39"/>
  <c r="Q24" i="39"/>
  <c r="O24" i="39"/>
  <c r="N24" i="39"/>
  <c r="M24" i="39"/>
  <c r="L24" i="39"/>
  <c r="P23" i="39"/>
  <c r="O23" i="39"/>
  <c r="Q23" i="39"/>
  <c r="N23" i="39"/>
  <c r="M23" i="39"/>
  <c r="L23" i="39"/>
  <c r="P22" i="39"/>
  <c r="Q22" i="39"/>
  <c r="O22" i="39"/>
  <c r="N22" i="39"/>
  <c r="M22" i="39"/>
  <c r="L22" i="39"/>
  <c r="P21" i="39"/>
  <c r="O21" i="39"/>
  <c r="Q21" i="39"/>
  <c r="N21" i="39"/>
  <c r="M21" i="39"/>
  <c r="L21" i="39"/>
  <c r="P20" i="39"/>
  <c r="Q20" i="39"/>
  <c r="O20" i="39"/>
  <c r="N20" i="39"/>
  <c r="M20" i="39"/>
  <c r="L20" i="39"/>
  <c r="P19" i="39"/>
  <c r="O19" i="39"/>
  <c r="Q19" i="39"/>
  <c r="N19" i="39"/>
  <c r="M19" i="39"/>
  <c r="L19" i="39"/>
  <c r="P18" i="39"/>
  <c r="Q18" i="39"/>
  <c r="O18" i="39"/>
  <c r="N18" i="39"/>
  <c r="M18" i="39"/>
  <c r="L18" i="39"/>
  <c r="P17" i="39"/>
  <c r="O17" i="39"/>
  <c r="Q17" i="39"/>
  <c r="N17" i="39"/>
  <c r="M17" i="39"/>
  <c r="L17" i="39"/>
  <c r="P16" i="39"/>
  <c r="Q16" i="39"/>
  <c r="O16" i="39"/>
  <c r="N16" i="39"/>
  <c r="M16" i="39"/>
  <c r="L16" i="39"/>
  <c r="P15" i="39"/>
  <c r="O15" i="39"/>
  <c r="Q15" i="39"/>
  <c r="N15" i="39"/>
  <c r="M15" i="39"/>
  <c r="L15" i="39"/>
  <c r="P14" i="39"/>
  <c r="Q14" i="39"/>
  <c r="O14" i="39"/>
  <c r="N14" i="39"/>
  <c r="M14" i="39"/>
  <c r="L14" i="39"/>
  <c r="P77" i="38"/>
  <c r="O77" i="38"/>
  <c r="N77" i="38"/>
  <c r="Q77" i="38"/>
  <c r="M77" i="38"/>
  <c r="L77" i="38"/>
  <c r="P76" i="38"/>
  <c r="O76" i="38"/>
  <c r="N76" i="38"/>
  <c r="M76" i="38"/>
  <c r="L76" i="38"/>
  <c r="P75" i="38"/>
  <c r="O75" i="38"/>
  <c r="N75" i="38"/>
  <c r="M75" i="38"/>
  <c r="L75" i="38"/>
  <c r="P74" i="38"/>
  <c r="O74" i="38"/>
  <c r="N74" i="38"/>
  <c r="M74" i="38"/>
  <c r="L74" i="38"/>
  <c r="P73" i="38"/>
  <c r="O73" i="38"/>
  <c r="N73" i="38"/>
  <c r="Q73" i="38"/>
  <c r="M73" i="38"/>
  <c r="L73" i="38"/>
  <c r="P72" i="38"/>
  <c r="O72" i="38"/>
  <c r="N72" i="38"/>
  <c r="M72" i="38"/>
  <c r="L72" i="38"/>
  <c r="P71" i="38"/>
  <c r="O71" i="38"/>
  <c r="N71" i="38"/>
  <c r="M71" i="38"/>
  <c r="L71" i="38"/>
  <c r="P70" i="38"/>
  <c r="O70" i="38"/>
  <c r="N70" i="38"/>
  <c r="M70" i="38"/>
  <c r="L70" i="38"/>
  <c r="P69" i="38"/>
  <c r="O69" i="38"/>
  <c r="N69" i="38"/>
  <c r="Q69" i="38"/>
  <c r="M69" i="38"/>
  <c r="L69" i="38"/>
  <c r="P68" i="38"/>
  <c r="O68" i="38"/>
  <c r="N68" i="38"/>
  <c r="M68" i="38"/>
  <c r="L68" i="38"/>
  <c r="P67" i="38"/>
  <c r="O67" i="38"/>
  <c r="N67" i="38"/>
  <c r="M67" i="38"/>
  <c r="L67" i="38"/>
  <c r="P66" i="38"/>
  <c r="O66" i="38"/>
  <c r="N66" i="38"/>
  <c r="M66" i="38"/>
  <c r="L66" i="38"/>
  <c r="P65" i="38"/>
  <c r="O65" i="38"/>
  <c r="N65" i="38"/>
  <c r="Q65" i="38"/>
  <c r="M65" i="38"/>
  <c r="L65" i="38"/>
  <c r="P64" i="38"/>
  <c r="O64" i="38"/>
  <c r="N64" i="38"/>
  <c r="M64" i="38"/>
  <c r="L64" i="38"/>
  <c r="P63" i="38"/>
  <c r="O63" i="38"/>
  <c r="N63" i="38"/>
  <c r="M63" i="38"/>
  <c r="L63" i="38"/>
  <c r="P62" i="38"/>
  <c r="O62" i="38"/>
  <c r="N62" i="38"/>
  <c r="M62" i="38"/>
  <c r="L62" i="38"/>
  <c r="P61" i="38"/>
  <c r="O61" i="38"/>
  <c r="N61" i="38"/>
  <c r="Q61" i="38"/>
  <c r="M61" i="38"/>
  <c r="L61" i="38"/>
  <c r="P60" i="38"/>
  <c r="O60" i="38"/>
  <c r="N60" i="38"/>
  <c r="M60" i="38"/>
  <c r="L60" i="38"/>
  <c r="P59" i="38"/>
  <c r="O59" i="38"/>
  <c r="N59" i="38"/>
  <c r="M59" i="38"/>
  <c r="L59" i="38"/>
  <c r="P58" i="38"/>
  <c r="O58" i="38"/>
  <c r="N58" i="38"/>
  <c r="M58" i="38"/>
  <c r="L58" i="38"/>
  <c r="P57" i="38"/>
  <c r="O57" i="38"/>
  <c r="N57" i="38"/>
  <c r="Q57" i="38"/>
  <c r="M57" i="38"/>
  <c r="L57" i="38"/>
  <c r="P56" i="38"/>
  <c r="O56" i="38"/>
  <c r="N56" i="38"/>
  <c r="M56" i="38"/>
  <c r="L56" i="38"/>
  <c r="P55" i="38"/>
  <c r="O55" i="38"/>
  <c r="N55" i="38"/>
  <c r="M55" i="38"/>
  <c r="L55" i="38"/>
  <c r="P54" i="38"/>
  <c r="O54" i="38"/>
  <c r="N54" i="38"/>
  <c r="M54" i="38"/>
  <c r="L54" i="38"/>
  <c r="P53" i="38"/>
  <c r="O53" i="38"/>
  <c r="N53" i="38"/>
  <c r="Q53" i="38"/>
  <c r="M53" i="38"/>
  <c r="L53" i="38"/>
  <c r="P52" i="38"/>
  <c r="O52" i="38"/>
  <c r="N52" i="38"/>
  <c r="M52" i="38"/>
  <c r="L52" i="38"/>
  <c r="P51" i="38"/>
  <c r="O51" i="38"/>
  <c r="N51" i="38"/>
  <c r="M51" i="38"/>
  <c r="L51" i="38"/>
  <c r="P50" i="38"/>
  <c r="O50" i="38"/>
  <c r="N50" i="38"/>
  <c r="M50" i="38"/>
  <c r="L50" i="38"/>
  <c r="P49" i="38"/>
  <c r="O49" i="38"/>
  <c r="N49" i="38"/>
  <c r="Q49" i="38"/>
  <c r="M49" i="38"/>
  <c r="L49" i="38"/>
  <c r="P48" i="38"/>
  <c r="O48" i="38"/>
  <c r="N48" i="38"/>
  <c r="M48" i="38"/>
  <c r="L48" i="38"/>
  <c r="P47" i="38"/>
  <c r="O47" i="38"/>
  <c r="N47" i="38"/>
  <c r="M47" i="38"/>
  <c r="L47" i="38"/>
  <c r="P46" i="38"/>
  <c r="O46" i="38"/>
  <c r="N46" i="38"/>
  <c r="M46" i="38"/>
  <c r="L46" i="38"/>
  <c r="P45" i="38"/>
  <c r="O45" i="38"/>
  <c r="N45" i="38"/>
  <c r="Q45" i="38"/>
  <c r="M45" i="38"/>
  <c r="L45" i="38"/>
  <c r="P44" i="38"/>
  <c r="O44" i="38"/>
  <c r="N44" i="38"/>
  <c r="M44" i="38"/>
  <c r="L44" i="38"/>
  <c r="P43" i="38"/>
  <c r="O43" i="38"/>
  <c r="N43" i="38"/>
  <c r="M43" i="38"/>
  <c r="L43" i="38"/>
  <c r="P42" i="38"/>
  <c r="O42" i="38"/>
  <c r="N42" i="38"/>
  <c r="M42" i="38"/>
  <c r="L42" i="38"/>
  <c r="P41" i="38"/>
  <c r="O41" i="38"/>
  <c r="N41" i="38"/>
  <c r="Q41" i="38"/>
  <c r="M41" i="38"/>
  <c r="L41" i="38"/>
  <c r="P40" i="38"/>
  <c r="O40" i="38"/>
  <c r="N40" i="38"/>
  <c r="M40" i="38"/>
  <c r="L40" i="38"/>
  <c r="P39" i="38"/>
  <c r="O39" i="38"/>
  <c r="N39" i="38"/>
  <c r="M39" i="38"/>
  <c r="L39" i="38"/>
  <c r="P38" i="38"/>
  <c r="O38" i="38"/>
  <c r="N38" i="38"/>
  <c r="M38" i="38"/>
  <c r="L38" i="38"/>
  <c r="P17" i="38"/>
  <c r="O17" i="38"/>
  <c r="N17" i="38"/>
  <c r="Q17" i="38"/>
  <c r="M17" i="38"/>
  <c r="L17" i="38"/>
  <c r="P16" i="38"/>
  <c r="O16" i="38"/>
  <c r="N16" i="38"/>
  <c r="M16" i="38"/>
  <c r="L16" i="38"/>
  <c r="P15" i="38"/>
  <c r="O15" i="38"/>
  <c r="N15" i="38"/>
  <c r="M15" i="38"/>
  <c r="L15" i="38"/>
  <c r="P14" i="38"/>
  <c r="O14" i="38"/>
  <c r="N14" i="38"/>
  <c r="M14" i="38"/>
  <c r="L14" i="38"/>
  <c r="P141" i="37"/>
  <c r="O141" i="37"/>
  <c r="N141" i="37"/>
  <c r="M141" i="37"/>
  <c r="L141" i="37"/>
  <c r="P140" i="37"/>
  <c r="O140" i="37"/>
  <c r="N140" i="37"/>
  <c r="M140" i="37"/>
  <c r="L140" i="37"/>
  <c r="P139" i="37"/>
  <c r="O139" i="37"/>
  <c r="N139" i="37"/>
  <c r="M139" i="37"/>
  <c r="L139" i="37"/>
  <c r="P138" i="37"/>
  <c r="O138" i="37"/>
  <c r="N138" i="37"/>
  <c r="M138" i="37"/>
  <c r="L138" i="37"/>
  <c r="P137" i="37"/>
  <c r="O137" i="37"/>
  <c r="N137" i="37"/>
  <c r="M137" i="37"/>
  <c r="L137" i="37"/>
  <c r="P136" i="37"/>
  <c r="O136" i="37"/>
  <c r="N136" i="37"/>
  <c r="M136" i="37"/>
  <c r="L136" i="37"/>
  <c r="P135" i="37"/>
  <c r="O135" i="37"/>
  <c r="N135" i="37"/>
  <c r="M135" i="37"/>
  <c r="L135" i="37"/>
  <c r="P134" i="37"/>
  <c r="O134" i="37"/>
  <c r="N134" i="37"/>
  <c r="M134" i="37"/>
  <c r="L134" i="37"/>
  <c r="P133" i="37"/>
  <c r="O133" i="37"/>
  <c r="N133" i="37"/>
  <c r="M133" i="37"/>
  <c r="L133" i="37"/>
  <c r="P132" i="37"/>
  <c r="O132" i="37"/>
  <c r="N132" i="37"/>
  <c r="M132" i="37"/>
  <c r="L132" i="37"/>
  <c r="P131" i="37"/>
  <c r="O131" i="37"/>
  <c r="N131" i="37"/>
  <c r="M131" i="37"/>
  <c r="L131" i="37"/>
  <c r="P130" i="37"/>
  <c r="O130" i="37"/>
  <c r="N130" i="37"/>
  <c r="M130" i="37"/>
  <c r="L130" i="37"/>
  <c r="P129" i="37"/>
  <c r="O129" i="37"/>
  <c r="N129" i="37"/>
  <c r="M129" i="37"/>
  <c r="L129" i="37"/>
  <c r="P128" i="37"/>
  <c r="O128" i="37"/>
  <c r="N128" i="37"/>
  <c r="M128" i="37"/>
  <c r="L128" i="37"/>
  <c r="P127" i="37"/>
  <c r="O127" i="37"/>
  <c r="N127" i="37"/>
  <c r="Q127" i="37"/>
  <c r="M127" i="37"/>
  <c r="L127" i="37"/>
  <c r="P126" i="37"/>
  <c r="O126" i="37"/>
  <c r="N126" i="37"/>
  <c r="M126" i="37"/>
  <c r="L126" i="37"/>
  <c r="P125" i="37"/>
  <c r="O125" i="37"/>
  <c r="N125" i="37"/>
  <c r="M125" i="37"/>
  <c r="L125" i="37"/>
  <c r="P124" i="37"/>
  <c r="O124" i="37"/>
  <c r="Q124" i="37"/>
  <c r="N124" i="37"/>
  <c r="M124" i="37"/>
  <c r="L124" i="37"/>
  <c r="P123" i="37"/>
  <c r="O123" i="37"/>
  <c r="N123" i="37"/>
  <c r="M123" i="37"/>
  <c r="L123" i="37"/>
  <c r="P122" i="37"/>
  <c r="O122" i="37"/>
  <c r="Q122" i="37"/>
  <c r="N122" i="37"/>
  <c r="M122" i="37"/>
  <c r="L122" i="37"/>
  <c r="P121" i="37"/>
  <c r="O121" i="37"/>
  <c r="N121" i="37"/>
  <c r="M121" i="37"/>
  <c r="L121" i="37"/>
  <c r="P120" i="37"/>
  <c r="O120" i="37"/>
  <c r="Q120" i="37"/>
  <c r="N120" i="37"/>
  <c r="M120" i="37"/>
  <c r="L120" i="37"/>
  <c r="P14" i="37"/>
  <c r="O14" i="37"/>
  <c r="N14" i="37"/>
  <c r="Q14" i="37"/>
  <c r="M14" i="37"/>
  <c r="L14" i="37"/>
  <c r="P104" i="36"/>
  <c r="O104" i="36"/>
  <c r="N104" i="36"/>
  <c r="Q104" i="36"/>
  <c r="M104" i="36"/>
  <c r="L104" i="36"/>
  <c r="P103" i="36"/>
  <c r="O103" i="36"/>
  <c r="N103" i="36"/>
  <c r="M103" i="36"/>
  <c r="L103" i="36"/>
  <c r="P102" i="36"/>
  <c r="Q102" i="36"/>
  <c r="O102" i="36"/>
  <c r="N102" i="36"/>
  <c r="M102" i="36"/>
  <c r="L102" i="36"/>
  <c r="P101" i="36"/>
  <c r="O101" i="36"/>
  <c r="N101" i="36"/>
  <c r="M101" i="36"/>
  <c r="L101" i="36"/>
  <c r="P100" i="36"/>
  <c r="O100" i="36"/>
  <c r="N100" i="36"/>
  <c r="M100" i="36"/>
  <c r="L100" i="36"/>
  <c r="P99" i="36"/>
  <c r="O99" i="36"/>
  <c r="N99" i="36"/>
  <c r="M99" i="36"/>
  <c r="L99" i="36"/>
  <c r="P98" i="36"/>
  <c r="O98" i="36"/>
  <c r="N98" i="36"/>
  <c r="M98" i="36"/>
  <c r="L98" i="36"/>
  <c r="P97" i="36"/>
  <c r="O97" i="36"/>
  <c r="N97" i="36"/>
  <c r="Q97" i="36"/>
  <c r="M97" i="36"/>
  <c r="L97" i="36"/>
  <c r="P96" i="36"/>
  <c r="O96" i="36"/>
  <c r="N96" i="36"/>
  <c r="M96" i="36"/>
  <c r="L96" i="36"/>
  <c r="P95" i="36"/>
  <c r="O95" i="36"/>
  <c r="N95" i="36"/>
  <c r="M95" i="36"/>
  <c r="L95" i="36"/>
  <c r="P94" i="36"/>
  <c r="Q94" i="36"/>
  <c r="O94" i="36"/>
  <c r="N94" i="36"/>
  <c r="M94" i="36"/>
  <c r="L94" i="36"/>
  <c r="P93" i="36"/>
  <c r="O93" i="36"/>
  <c r="N93" i="36"/>
  <c r="Q93" i="36"/>
  <c r="M93" i="36"/>
  <c r="L93" i="36"/>
  <c r="P92" i="36"/>
  <c r="O92" i="36"/>
  <c r="N92" i="36"/>
  <c r="M92" i="36"/>
  <c r="L92" i="36"/>
  <c r="P91" i="36"/>
  <c r="O91" i="36"/>
  <c r="N91" i="36"/>
  <c r="M91" i="36"/>
  <c r="L91" i="36"/>
  <c r="P90" i="36"/>
  <c r="O90" i="36"/>
  <c r="N90" i="36"/>
  <c r="M90" i="36"/>
  <c r="L90" i="36"/>
  <c r="P89" i="36"/>
  <c r="O89" i="36"/>
  <c r="N89" i="36"/>
  <c r="Q89" i="36"/>
  <c r="M89" i="36"/>
  <c r="L89" i="36"/>
  <c r="P88" i="36"/>
  <c r="O88" i="36"/>
  <c r="N88" i="36"/>
  <c r="M88" i="36"/>
  <c r="L88" i="36"/>
  <c r="P87" i="36"/>
  <c r="O87" i="36"/>
  <c r="N87" i="36"/>
  <c r="M87" i="36"/>
  <c r="L87" i="36"/>
  <c r="P86" i="36"/>
  <c r="O86" i="36"/>
  <c r="N86" i="36"/>
  <c r="M86" i="36"/>
  <c r="L86" i="36"/>
  <c r="P85" i="36"/>
  <c r="O85" i="36"/>
  <c r="N85" i="36"/>
  <c r="M85" i="36"/>
  <c r="L85" i="36"/>
  <c r="P84" i="36"/>
  <c r="O84" i="36"/>
  <c r="N84" i="36"/>
  <c r="M84" i="36"/>
  <c r="L84" i="36"/>
  <c r="P83" i="36"/>
  <c r="O83" i="36"/>
  <c r="N83" i="36"/>
  <c r="M83" i="36"/>
  <c r="L83" i="36"/>
  <c r="P82" i="36"/>
  <c r="O82" i="36"/>
  <c r="N82" i="36"/>
  <c r="M82" i="36"/>
  <c r="L82" i="36"/>
  <c r="P81" i="36"/>
  <c r="O81" i="36"/>
  <c r="N81" i="36"/>
  <c r="M81" i="36"/>
  <c r="L81" i="36"/>
  <c r="P80" i="36"/>
  <c r="O80" i="36"/>
  <c r="N80" i="36"/>
  <c r="Q80" i="36"/>
  <c r="M80" i="36"/>
  <c r="L80" i="36"/>
  <c r="P79" i="36"/>
  <c r="O79" i="36"/>
  <c r="N79" i="36"/>
  <c r="M79" i="36"/>
  <c r="L79" i="36"/>
  <c r="P78" i="36"/>
  <c r="O78" i="36"/>
  <c r="N78" i="36"/>
  <c r="M78" i="36"/>
  <c r="L78" i="36"/>
  <c r="P77" i="36"/>
  <c r="O77" i="36"/>
  <c r="N77" i="36"/>
  <c r="Q77" i="36"/>
  <c r="M77" i="36"/>
  <c r="L77" i="36"/>
  <c r="P76" i="36"/>
  <c r="O76" i="36"/>
  <c r="N76" i="36"/>
  <c r="M76" i="36"/>
  <c r="L76" i="36"/>
  <c r="P75" i="36"/>
  <c r="O75" i="36"/>
  <c r="N75" i="36"/>
  <c r="M75" i="36"/>
  <c r="L75" i="36"/>
  <c r="P74" i="36"/>
  <c r="O74" i="36"/>
  <c r="N74" i="36"/>
  <c r="M74" i="36"/>
  <c r="L74" i="36"/>
  <c r="P73" i="36"/>
  <c r="O73" i="36"/>
  <c r="N73" i="36"/>
  <c r="Q73" i="36"/>
  <c r="M73" i="36"/>
  <c r="L73" i="36"/>
  <c r="P72" i="36"/>
  <c r="O72" i="36"/>
  <c r="N72" i="36"/>
  <c r="M72" i="36"/>
  <c r="L72" i="36"/>
  <c r="P71" i="36"/>
  <c r="O71" i="36"/>
  <c r="N71" i="36"/>
  <c r="M71" i="36"/>
  <c r="L71" i="36"/>
  <c r="P70" i="36"/>
  <c r="O70" i="36"/>
  <c r="N70" i="36"/>
  <c r="M70" i="36"/>
  <c r="L70" i="36"/>
  <c r="P69" i="36"/>
  <c r="O69" i="36"/>
  <c r="N69" i="36"/>
  <c r="Q69" i="36"/>
  <c r="M69" i="36"/>
  <c r="L69" i="36"/>
  <c r="P68" i="36"/>
  <c r="O68" i="36"/>
  <c r="N68" i="36"/>
  <c r="M68" i="36"/>
  <c r="L68" i="36"/>
  <c r="P67" i="36"/>
  <c r="O67" i="36"/>
  <c r="N67" i="36"/>
  <c r="M67" i="36"/>
  <c r="L67" i="36"/>
  <c r="P66" i="36"/>
  <c r="O66" i="36"/>
  <c r="N66" i="36"/>
  <c r="M66" i="36"/>
  <c r="L66" i="36"/>
  <c r="P65" i="36"/>
  <c r="O65" i="36"/>
  <c r="N65" i="36"/>
  <c r="M65" i="36"/>
  <c r="L65" i="36"/>
  <c r="P64" i="36"/>
  <c r="O64" i="36"/>
  <c r="N64" i="36"/>
  <c r="M64" i="36"/>
  <c r="L64" i="36"/>
  <c r="P63" i="36"/>
  <c r="O63" i="36"/>
  <c r="N63" i="36"/>
  <c r="M63" i="36"/>
  <c r="L63" i="36"/>
  <c r="P62" i="36"/>
  <c r="O62" i="36"/>
  <c r="N62" i="36"/>
  <c r="M62" i="36"/>
  <c r="L62" i="36"/>
  <c r="P61" i="36"/>
  <c r="O61" i="36"/>
  <c r="N61" i="36"/>
  <c r="Q61" i="36"/>
  <c r="M61" i="36"/>
  <c r="L61" i="36"/>
  <c r="P60" i="36"/>
  <c r="O60" i="36"/>
  <c r="N60" i="36"/>
  <c r="M60" i="36"/>
  <c r="L60" i="36"/>
  <c r="P59" i="36"/>
  <c r="O59" i="36"/>
  <c r="N59" i="36"/>
  <c r="M59" i="36"/>
  <c r="L59" i="36"/>
  <c r="P58" i="36"/>
  <c r="O58" i="36"/>
  <c r="N58" i="36"/>
  <c r="M58" i="36"/>
  <c r="L58" i="36"/>
  <c r="P57" i="36"/>
  <c r="O57" i="36"/>
  <c r="N57" i="36"/>
  <c r="M57" i="36"/>
  <c r="L57" i="36"/>
  <c r="P56" i="36"/>
  <c r="O56" i="36"/>
  <c r="N56" i="36"/>
  <c r="M56" i="36"/>
  <c r="L56" i="36"/>
  <c r="P55" i="36"/>
  <c r="O55" i="36"/>
  <c r="N55" i="36"/>
  <c r="M55" i="36"/>
  <c r="L55" i="36"/>
  <c r="P54" i="36"/>
  <c r="O54" i="36"/>
  <c r="N54" i="36"/>
  <c r="M54" i="36"/>
  <c r="L54" i="36"/>
  <c r="P53" i="36"/>
  <c r="O53" i="36"/>
  <c r="N53" i="36"/>
  <c r="M53" i="36"/>
  <c r="L53" i="36"/>
  <c r="P52" i="36"/>
  <c r="O52" i="36"/>
  <c r="N52" i="36"/>
  <c r="M52" i="36"/>
  <c r="L52" i="36"/>
  <c r="P51" i="36"/>
  <c r="O51" i="36"/>
  <c r="N51" i="36"/>
  <c r="M51" i="36"/>
  <c r="L51" i="36"/>
  <c r="P50" i="36"/>
  <c r="O50" i="36"/>
  <c r="N50" i="36"/>
  <c r="M50" i="36"/>
  <c r="L50" i="36"/>
  <c r="P49" i="36"/>
  <c r="O49" i="36"/>
  <c r="N49" i="36"/>
  <c r="M49" i="36"/>
  <c r="L49" i="36"/>
  <c r="P48" i="36"/>
  <c r="O48" i="36"/>
  <c r="N48" i="36"/>
  <c r="Q48" i="36"/>
  <c r="M48" i="36"/>
  <c r="L48" i="36"/>
  <c r="P47" i="36"/>
  <c r="O47" i="36"/>
  <c r="N47" i="36"/>
  <c r="M47" i="36"/>
  <c r="L47" i="36"/>
  <c r="P46" i="36"/>
  <c r="O46" i="36"/>
  <c r="N46" i="36"/>
  <c r="M46" i="36"/>
  <c r="L46" i="36"/>
  <c r="P45" i="36"/>
  <c r="O45" i="36"/>
  <c r="N45" i="36"/>
  <c r="M45" i="36"/>
  <c r="L45" i="36"/>
  <c r="P44" i="36"/>
  <c r="O44" i="36"/>
  <c r="N44" i="36"/>
  <c r="Q44" i="36"/>
  <c r="M44" i="36"/>
  <c r="L44" i="36"/>
  <c r="P43" i="36"/>
  <c r="O43" i="36"/>
  <c r="N43" i="36"/>
  <c r="M43" i="36"/>
  <c r="L43" i="36"/>
  <c r="P42" i="36"/>
  <c r="O42" i="36"/>
  <c r="N42" i="36"/>
  <c r="M42" i="36"/>
  <c r="L42" i="36"/>
  <c r="P41" i="36"/>
  <c r="O41" i="36"/>
  <c r="N41" i="36"/>
  <c r="M41" i="36"/>
  <c r="L41" i="36"/>
  <c r="P40" i="36"/>
  <c r="O40" i="36"/>
  <c r="N40" i="36"/>
  <c r="Q40" i="36"/>
  <c r="M40" i="36"/>
  <c r="L40" i="36"/>
  <c r="P39" i="36"/>
  <c r="O39" i="36"/>
  <c r="N39" i="36"/>
  <c r="M39" i="36"/>
  <c r="L39" i="36"/>
  <c r="P38" i="36"/>
  <c r="O38" i="36"/>
  <c r="N38" i="36"/>
  <c r="M38" i="36"/>
  <c r="L38" i="36"/>
  <c r="P37" i="36"/>
  <c r="O37" i="36"/>
  <c r="N37" i="36"/>
  <c r="M37" i="36"/>
  <c r="L37" i="36"/>
  <c r="P36" i="36"/>
  <c r="O36" i="36"/>
  <c r="N36" i="36"/>
  <c r="Q36" i="36"/>
  <c r="M36" i="36"/>
  <c r="L36" i="36"/>
  <c r="P35" i="36"/>
  <c r="O35" i="36"/>
  <c r="N35" i="36"/>
  <c r="M35" i="36"/>
  <c r="L35" i="36"/>
  <c r="P34" i="36"/>
  <c r="O34" i="36"/>
  <c r="N34" i="36"/>
  <c r="M34" i="36"/>
  <c r="L34" i="36"/>
  <c r="P33" i="36"/>
  <c r="O33" i="36"/>
  <c r="N33" i="36"/>
  <c r="Q33" i="36"/>
  <c r="M33" i="36"/>
  <c r="L33" i="36"/>
  <c r="P32" i="36"/>
  <c r="O32" i="36"/>
  <c r="N32" i="36"/>
  <c r="Q32" i="36"/>
  <c r="M32" i="36"/>
  <c r="L32" i="36"/>
  <c r="P31" i="36"/>
  <c r="O31" i="36"/>
  <c r="N31" i="36"/>
  <c r="M31" i="36"/>
  <c r="L31" i="36"/>
  <c r="P30" i="36"/>
  <c r="O30" i="36"/>
  <c r="N30" i="36"/>
  <c r="M30" i="36"/>
  <c r="L30" i="36"/>
  <c r="P29" i="36"/>
  <c r="O29" i="36"/>
  <c r="N29" i="36"/>
  <c r="Q29" i="36"/>
  <c r="M29" i="36"/>
  <c r="L29" i="36"/>
  <c r="P28" i="36"/>
  <c r="O28" i="36"/>
  <c r="N28" i="36"/>
  <c r="Q28" i="36"/>
  <c r="M28" i="36"/>
  <c r="L28" i="36"/>
  <c r="P27" i="36"/>
  <c r="O27" i="36"/>
  <c r="N27" i="36"/>
  <c r="M27" i="36"/>
  <c r="L27" i="36"/>
  <c r="P26" i="36"/>
  <c r="O26" i="36"/>
  <c r="N26" i="36"/>
  <c r="M26" i="36"/>
  <c r="L26" i="36"/>
  <c r="P25" i="36"/>
  <c r="O25" i="36"/>
  <c r="N25" i="36"/>
  <c r="Q25" i="36"/>
  <c r="M25" i="36"/>
  <c r="L25" i="36"/>
  <c r="P24" i="36"/>
  <c r="O24" i="36"/>
  <c r="N24" i="36"/>
  <c r="M24" i="36"/>
  <c r="L24" i="36"/>
  <c r="P23" i="36"/>
  <c r="O23" i="36"/>
  <c r="N23" i="36"/>
  <c r="M23" i="36"/>
  <c r="L23" i="36"/>
  <c r="P22" i="36"/>
  <c r="O22" i="36"/>
  <c r="N22" i="36"/>
  <c r="M22" i="36"/>
  <c r="L22" i="36"/>
  <c r="P21" i="36"/>
  <c r="O21" i="36"/>
  <c r="N21" i="36"/>
  <c r="Q21" i="36"/>
  <c r="M21" i="36"/>
  <c r="L21" i="36"/>
  <c r="P20" i="36"/>
  <c r="O20" i="36"/>
  <c r="N20" i="36"/>
  <c r="M20" i="36"/>
  <c r="L20" i="36"/>
  <c r="P19" i="36"/>
  <c r="O19" i="36"/>
  <c r="N19" i="36"/>
  <c r="M19" i="36"/>
  <c r="L19" i="36"/>
  <c r="P18" i="36"/>
  <c r="O18" i="36"/>
  <c r="N18" i="36"/>
  <c r="M18" i="36"/>
  <c r="L18" i="36"/>
  <c r="P17" i="36"/>
  <c r="O17" i="36"/>
  <c r="N17" i="36"/>
  <c r="Q17" i="36"/>
  <c r="M17" i="36"/>
  <c r="L17" i="36"/>
  <c r="P16" i="36"/>
  <c r="O16" i="36"/>
  <c r="N16" i="36"/>
  <c r="Q16" i="36"/>
  <c r="M16" i="36"/>
  <c r="L16" i="36"/>
  <c r="P15" i="36"/>
  <c r="O15" i="36"/>
  <c r="N15" i="36"/>
  <c r="M15" i="36"/>
  <c r="L15" i="36"/>
  <c r="P14" i="36"/>
  <c r="O14" i="36"/>
  <c r="N14" i="36"/>
  <c r="M14" i="36"/>
  <c r="L14" i="36"/>
  <c r="P32" i="35"/>
  <c r="O32" i="35"/>
  <c r="N32" i="35"/>
  <c r="Q32" i="35"/>
  <c r="M32" i="35"/>
  <c r="L32" i="35"/>
  <c r="P31" i="35"/>
  <c r="O31" i="35"/>
  <c r="N31" i="35"/>
  <c r="Q31" i="35"/>
  <c r="M31" i="35"/>
  <c r="L31" i="35"/>
  <c r="P30" i="35"/>
  <c r="O30" i="35"/>
  <c r="N30" i="35"/>
  <c r="Q30" i="35"/>
  <c r="M30" i="35"/>
  <c r="L30" i="35"/>
  <c r="P29" i="35"/>
  <c r="O29" i="35"/>
  <c r="N29" i="35"/>
  <c r="Q29" i="35"/>
  <c r="M29" i="35"/>
  <c r="L29" i="35"/>
  <c r="P28" i="35"/>
  <c r="O28" i="35"/>
  <c r="N28" i="35"/>
  <c r="Q28" i="35"/>
  <c r="M28" i="35"/>
  <c r="L28" i="35"/>
  <c r="P27" i="35"/>
  <c r="O27" i="35"/>
  <c r="N27" i="35"/>
  <c r="Q27" i="35"/>
  <c r="M27" i="35"/>
  <c r="L27" i="35"/>
  <c r="P26" i="35"/>
  <c r="O26" i="35"/>
  <c r="N26" i="35"/>
  <c r="Q26" i="35"/>
  <c r="M26" i="35"/>
  <c r="L26" i="35"/>
  <c r="P25" i="35"/>
  <c r="O25" i="35"/>
  <c r="N25" i="35"/>
  <c r="Q25" i="35"/>
  <c r="M25" i="35"/>
  <c r="L25" i="35"/>
  <c r="P24" i="35"/>
  <c r="O24" i="35"/>
  <c r="N24" i="35"/>
  <c r="Q24" i="35"/>
  <c r="M24" i="35"/>
  <c r="L24" i="35"/>
  <c r="P23" i="35"/>
  <c r="O23" i="35"/>
  <c r="N23" i="35"/>
  <c r="Q23" i="35"/>
  <c r="M23" i="35"/>
  <c r="L23" i="35"/>
  <c r="P22" i="35"/>
  <c r="O22" i="35"/>
  <c r="N22" i="35"/>
  <c r="Q22" i="35"/>
  <c r="M22" i="35"/>
  <c r="L22" i="35"/>
  <c r="P21" i="35"/>
  <c r="O21" i="35"/>
  <c r="N21" i="35"/>
  <c r="Q21" i="35"/>
  <c r="M21" i="35"/>
  <c r="L21" i="35"/>
  <c r="P20" i="35"/>
  <c r="O20" i="35"/>
  <c r="N20" i="35"/>
  <c r="Q20" i="35"/>
  <c r="M20" i="35"/>
  <c r="L20" i="35"/>
  <c r="P19" i="35"/>
  <c r="O19" i="35"/>
  <c r="N19" i="35"/>
  <c r="Q19" i="35"/>
  <c r="M19" i="35"/>
  <c r="L19" i="35"/>
  <c r="P18" i="35"/>
  <c r="O18" i="35"/>
  <c r="N18" i="35"/>
  <c r="Q18" i="35"/>
  <c r="M18" i="35"/>
  <c r="L18" i="35"/>
  <c r="Q17" i="35"/>
  <c r="P17" i="35"/>
  <c r="O17" i="35"/>
  <c r="N17" i="35"/>
  <c r="M17" i="35"/>
  <c r="L17" i="35"/>
  <c r="P16" i="35"/>
  <c r="O16" i="35"/>
  <c r="N16" i="35"/>
  <c r="Q16" i="35"/>
  <c r="M16" i="35"/>
  <c r="L16" i="35"/>
  <c r="P15" i="35"/>
  <c r="O15" i="35"/>
  <c r="N15" i="35"/>
  <c r="Q15" i="35"/>
  <c r="M15" i="35"/>
  <c r="L15" i="35"/>
  <c r="P112" i="34"/>
  <c r="O112" i="34"/>
  <c r="N112" i="34"/>
  <c r="Q112" i="34"/>
  <c r="M112" i="34"/>
  <c r="L112" i="34"/>
  <c r="P111" i="34"/>
  <c r="O111" i="34"/>
  <c r="N111" i="34"/>
  <c r="Q111" i="34"/>
  <c r="M111" i="34"/>
  <c r="L111" i="34"/>
  <c r="P110" i="34"/>
  <c r="O110" i="34"/>
  <c r="N110" i="34"/>
  <c r="Q110" i="34"/>
  <c r="M110" i="34"/>
  <c r="L110" i="34"/>
  <c r="P109" i="34"/>
  <c r="O109" i="34"/>
  <c r="N109" i="34"/>
  <c r="Q109" i="34"/>
  <c r="M109" i="34"/>
  <c r="L109" i="34"/>
  <c r="P108" i="34"/>
  <c r="O108" i="34"/>
  <c r="N108" i="34"/>
  <c r="Q108" i="34"/>
  <c r="M108" i="34"/>
  <c r="L108" i="34"/>
  <c r="P107" i="34"/>
  <c r="O107" i="34"/>
  <c r="N107" i="34"/>
  <c r="Q107" i="34"/>
  <c r="M107" i="34"/>
  <c r="L107" i="34"/>
  <c r="P106" i="34"/>
  <c r="O106" i="34"/>
  <c r="N106" i="34"/>
  <c r="Q106" i="34"/>
  <c r="M106" i="34"/>
  <c r="L106" i="34"/>
  <c r="P105" i="34"/>
  <c r="O105" i="34"/>
  <c r="N105" i="34"/>
  <c r="Q105" i="34"/>
  <c r="M105" i="34"/>
  <c r="L105" i="34"/>
  <c r="P104" i="34"/>
  <c r="O104" i="34"/>
  <c r="N104" i="34"/>
  <c r="Q104" i="34"/>
  <c r="M104" i="34"/>
  <c r="L104" i="34"/>
  <c r="P103" i="34"/>
  <c r="O103" i="34"/>
  <c r="N103" i="34"/>
  <c r="Q103" i="34"/>
  <c r="M103" i="34"/>
  <c r="L103" i="34"/>
  <c r="P102" i="34"/>
  <c r="O102" i="34"/>
  <c r="N102" i="34"/>
  <c r="Q102" i="34"/>
  <c r="M102" i="34"/>
  <c r="L102" i="34"/>
  <c r="P101" i="34"/>
  <c r="O101" i="34"/>
  <c r="N101" i="34"/>
  <c r="Q101" i="34"/>
  <c r="M101" i="34"/>
  <c r="L101" i="34"/>
  <c r="P100" i="34"/>
  <c r="O100" i="34"/>
  <c r="N100" i="34"/>
  <c r="Q100" i="34"/>
  <c r="M100" i="34"/>
  <c r="L100" i="34"/>
  <c r="P99" i="34"/>
  <c r="O99" i="34"/>
  <c r="N99" i="34"/>
  <c r="Q99" i="34"/>
  <c r="M99" i="34"/>
  <c r="L99" i="34"/>
  <c r="P98" i="34"/>
  <c r="O98" i="34"/>
  <c r="N98" i="34"/>
  <c r="Q98" i="34"/>
  <c r="M98" i="34"/>
  <c r="L98" i="34"/>
  <c r="P97" i="34"/>
  <c r="O97" i="34"/>
  <c r="N97" i="34"/>
  <c r="Q97" i="34"/>
  <c r="M97" i="34"/>
  <c r="L97" i="34"/>
  <c r="P96" i="34"/>
  <c r="O96" i="34"/>
  <c r="N96" i="34"/>
  <c r="Q96" i="34"/>
  <c r="M96" i="34"/>
  <c r="L96" i="34"/>
  <c r="P95" i="34"/>
  <c r="O95" i="34"/>
  <c r="N95" i="34"/>
  <c r="Q95" i="34"/>
  <c r="M95" i="34"/>
  <c r="L95" i="34"/>
  <c r="P94" i="34"/>
  <c r="O94" i="34"/>
  <c r="N94" i="34"/>
  <c r="Q94" i="34"/>
  <c r="M94" i="34"/>
  <c r="L94" i="34"/>
  <c r="P93" i="34"/>
  <c r="O93" i="34"/>
  <c r="N93" i="34"/>
  <c r="Q93" i="34"/>
  <c r="M93" i="34"/>
  <c r="L93" i="34"/>
  <c r="P92" i="34"/>
  <c r="O92" i="34"/>
  <c r="N92" i="34"/>
  <c r="Q92" i="34"/>
  <c r="M92" i="34"/>
  <c r="L92" i="34"/>
  <c r="P91" i="34"/>
  <c r="O91" i="34"/>
  <c r="N91" i="34"/>
  <c r="Q91" i="34"/>
  <c r="M91" i="34"/>
  <c r="L91" i="34"/>
  <c r="P90" i="34"/>
  <c r="O90" i="34"/>
  <c r="N90" i="34"/>
  <c r="Q90" i="34"/>
  <c r="M90" i="34"/>
  <c r="L90" i="34"/>
  <c r="P89" i="34"/>
  <c r="O89" i="34"/>
  <c r="N89" i="34"/>
  <c r="Q89" i="34"/>
  <c r="M89" i="34"/>
  <c r="L89" i="34"/>
  <c r="P88" i="34"/>
  <c r="O88" i="34"/>
  <c r="N88" i="34"/>
  <c r="Q88" i="34"/>
  <c r="M88" i="34"/>
  <c r="L88" i="34"/>
  <c r="P87" i="34"/>
  <c r="O87" i="34"/>
  <c r="N87" i="34"/>
  <c r="Q87" i="34"/>
  <c r="M87" i="34"/>
  <c r="L87" i="34"/>
  <c r="P86" i="34"/>
  <c r="O86" i="34"/>
  <c r="N86" i="34"/>
  <c r="Q86" i="34"/>
  <c r="M86" i="34"/>
  <c r="L86" i="34"/>
  <c r="P85" i="34"/>
  <c r="O85" i="34"/>
  <c r="N85" i="34"/>
  <c r="Q85" i="34"/>
  <c r="M85" i="34"/>
  <c r="L85" i="34"/>
  <c r="P84" i="34"/>
  <c r="O84" i="34"/>
  <c r="N84" i="34"/>
  <c r="Q84" i="34"/>
  <c r="M84" i="34"/>
  <c r="L84" i="34"/>
  <c r="P83" i="34"/>
  <c r="O83" i="34"/>
  <c r="N83" i="34"/>
  <c r="Q83" i="34"/>
  <c r="M83" i="34"/>
  <c r="L83" i="34"/>
  <c r="P82" i="34"/>
  <c r="O82" i="34"/>
  <c r="N82" i="34"/>
  <c r="Q82" i="34"/>
  <c r="M82" i="34"/>
  <c r="L82" i="34"/>
  <c r="P81" i="34"/>
  <c r="O81" i="34"/>
  <c r="N81" i="34"/>
  <c r="Q81" i="34"/>
  <c r="M81" i="34"/>
  <c r="L81" i="34"/>
  <c r="P80" i="34"/>
  <c r="O80" i="34"/>
  <c r="N80" i="34"/>
  <c r="Q80" i="34"/>
  <c r="M80" i="34"/>
  <c r="L80" i="34"/>
  <c r="P79" i="34"/>
  <c r="O79" i="34"/>
  <c r="N79" i="34"/>
  <c r="Q79" i="34"/>
  <c r="M79" i="34"/>
  <c r="L79" i="34"/>
  <c r="P78" i="34"/>
  <c r="O78" i="34"/>
  <c r="N78" i="34"/>
  <c r="Q78" i="34"/>
  <c r="M78" i="34"/>
  <c r="L78" i="34"/>
  <c r="P77" i="34"/>
  <c r="O77" i="34"/>
  <c r="N77" i="34"/>
  <c r="Q77" i="34"/>
  <c r="M77" i="34"/>
  <c r="L77" i="34"/>
  <c r="P76" i="34"/>
  <c r="O76" i="34"/>
  <c r="N76" i="34"/>
  <c r="Q76" i="34"/>
  <c r="M76" i="34"/>
  <c r="L76" i="34"/>
  <c r="P75" i="34"/>
  <c r="O75" i="34"/>
  <c r="N75" i="34"/>
  <c r="Q75" i="34"/>
  <c r="M75" i="34"/>
  <c r="L75" i="34"/>
  <c r="P74" i="34"/>
  <c r="O74" i="34"/>
  <c r="N74" i="34"/>
  <c r="Q74" i="34"/>
  <c r="M74" i="34"/>
  <c r="L74" i="34"/>
  <c r="P73" i="34"/>
  <c r="O73" i="34"/>
  <c r="N73" i="34"/>
  <c r="Q73" i="34"/>
  <c r="M73" i="34"/>
  <c r="L73" i="34"/>
  <c r="P72" i="34"/>
  <c r="O72" i="34"/>
  <c r="N72" i="34"/>
  <c r="Q72" i="34"/>
  <c r="M72" i="34"/>
  <c r="L72" i="34"/>
  <c r="P71" i="34"/>
  <c r="O71" i="34"/>
  <c r="N71" i="34"/>
  <c r="Q71" i="34"/>
  <c r="M71" i="34"/>
  <c r="L71" i="34"/>
  <c r="P70" i="34"/>
  <c r="O70" i="34"/>
  <c r="N70" i="34"/>
  <c r="Q70" i="34"/>
  <c r="M70" i="34"/>
  <c r="L70" i="34"/>
  <c r="P69" i="34"/>
  <c r="O69" i="34"/>
  <c r="N69" i="34"/>
  <c r="Q69" i="34"/>
  <c r="M69" i="34"/>
  <c r="L69" i="34"/>
  <c r="P68" i="34"/>
  <c r="O68" i="34"/>
  <c r="N68" i="34"/>
  <c r="Q68" i="34"/>
  <c r="M68" i="34"/>
  <c r="L68" i="34"/>
  <c r="P67" i="34"/>
  <c r="O67" i="34"/>
  <c r="N67" i="34"/>
  <c r="Q67" i="34"/>
  <c r="M67" i="34"/>
  <c r="L67" i="34"/>
  <c r="P66" i="34"/>
  <c r="O66" i="34"/>
  <c r="N66" i="34"/>
  <c r="Q66" i="34"/>
  <c r="M66" i="34"/>
  <c r="L66" i="34"/>
  <c r="P65" i="34"/>
  <c r="O65" i="34"/>
  <c r="N65" i="34"/>
  <c r="Q65" i="34"/>
  <c r="M65" i="34"/>
  <c r="L65" i="34"/>
  <c r="P64" i="34"/>
  <c r="O64" i="34"/>
  <c r="N64" i="34"/>
  <c r="Q64" i="34"/>
  <c r="M64" i="34"/>
  <c r="L64" i="34"/>
  <c r="P63" i="34"/>
  <c r="O63" i="34"/>
  <c r="N63" i="34"/>
  <c r="Q63" i="34"/>
  <c r="M63" i="34"/>
  <c r="L63" i="34"/>
  <c r="P62" i="34"/>
  <c r="O62" i="34"/>
  <c r="Q62" i="34"/>
  <c r="N62" i="34"/>
  <c r="M62" i="34"/>
  <c r="L62" i="34"/>
  <c r="P61" i="34"/>
  <c r="O61" i="34"/>
  <c r="N61" i="34"/>
  <c r="Q61" i="34"/>
  <c r="M61" i="34"/>
  <c r="L61" i="34"/>
  <c r="P60" i="34"/>
  <c r="O60" i="34"/>
  <c r="Q60" i="34"/>
  <c r="N60" i="34"/>
  <c r="M60" i="34"/>
  <c r="L60" i="34"/>
  <c r="P59" i="34"/>
  <c r="O59" i="34"/>
  <c r="N59" i="34"/>
  <c r="Q59" i="34"/>
  <c r="M59" i="34"/>
  <c r="L59" i="34"/>
  <c r="P58" i="34"/>
  <c r="O58" i="34"/>
  <c r="Q58" i="34"/>
  <c r="N58" i="34"/>
  <c r="M58" i="34"/>
  <c r="L58" i="34"/>
  <c r="P57" i="34"/>
  <c r="O57" i="34"/>
  <c r="N57" i="34"/>
  <c r="Q57" i="34"/>
  <c r="M57" i="34"/>
  <c r="L57" i="34"/>
  <c r="P56" i="34"/>
  <c r="O56" i="34"/>
  <c r="Q56" i="34"/>
  <c r="N56" i="34"/>
  <c r="M56" i="34"/>
  <c r="L56" i="34"/>
  <c r="P55" i="34"/>
  <c r="O55" i="34"/>
  <c r="N55" i="34"/>
  <c r="Q55" i="34"/>
  <c r="M55" i="34"/>
  <c r="L55" i="34"/>
  <c r="P54" i="34"/>
  <c r="O54" i="34"/>
  <c r="Q54" i="34"/>
  <c r="N54" i="34"/>
  <c r="M54" i="34"/>
  <c r="L54" i="34"/>
  <c r="P53" i="34"/>
  <c r="O53" i="34"/>
  <c r="N53" i="34"/>
  <c r="Q53" i="34"/>
  <c r="M53" i="34"/>
  <c r="L53" i="34"/>
  <c r="P52" i="34"/>
  <c r="O52" i="34"/>
  <c r="Q52" i="34"/>
  <c r="N52" i="34"/>
  <c r="M52" i="34"/>
  <c r="L52" i="34"/>
  <c r="P51" i="34"/>
  <c r="O51" i="34"/>
  <c r="N51" i="34"/>
  <c r="Q51" i="34"/>
  <c r="M51" i="34"/>
  <c r="L51" i="34"/>
  <c r="P50" i="34"/>
  <c r="O50" i="34"/>
  <c r="Q50" i="34"/>
  <c r="N50" i="34"/>
  <c r="M50" i="34"/>
  <c r="L50" i="34"/>
  <c r="P49" i="34"/>
  <c r="O49" i="34"/>
  <c r="N49" i="34"/>
  <c r="Q49" i="34"/>
  <c r="M49" i="34"/>
  <c r="L49" i="34"/>
  <c r="P48" i="34"/>
  <c r="O48" i="34"/>
  <c r="Q48" i="34"/>
  <c r="N48" i="34"/>
  <c r="M48" i="34"/>
  <c r="L48" i="34"/>
  <c r="P47" i="34"/>
  <c r="O47" i="34"/>
  <c r="N47" i="34"/>
  <c r="Q47" i="34"/>
  <c r="M47" i="34"/>
  <c r="L47" i="34"/>
  <c r="P46" i="34"/>
  <c r="O46" i="34"/>
  <c r="Q46" i="34"/>
  <c r="N46" i="34"/>
  <c r="M46" i="34"/>
  <c r="L46" i="34"/>
  <c r="P45" i="34"/>
  <c r="O45" i="34"/>
  <c r="N45" i="34"/>
  <c r="Q45" i="34"/>
  <c r="M45" i="34"/>
  <c r="L45" i="34"/>
  <c r="P44" i="34"/>
  <c r="O44" i="34"/>
  <c r="Q44" i="34"/>
  <c r="N44" i="34"/>
  <c r="M44" i="34"/>
  <c r="L44" i="34"/>
  <c r="P43" i="34"/>
  <c r="O43" i="34"/>
  <c r="N43" i="34"/>
  <c r="Q43" i="34"/>
  <c r="M43" i="34"/>
  <c r="L43" i="34"/>
  <c r="P42" i="34"/>
  <c r="O42" i="34"/>
  <c r="Q42" i="34"/>
  <c r="N42" i="34"/>
  <c r="M42" i="34"/>
  <c r="L42" i="34"/>
  <c r="P41" i="34"/>
  <c r="O41" i="34"/>
  <c r="N41" i="34"/>
  <c r="Q41" i="34"/>
  <c r="M41" i="34"/>
  <c r="L41" i="34"/>
  <c r="P40" i="34"/>
  <c r="O40" i="34"/>
  <c r="N40" i="34"/>
  <c r="Q40" i="34"/>
  <c r="M40" i="34"/>
  <c r="L40" i="34"/>
  <c r="P39" i="34"/>
  <c r="O39" i="34"/>
  <c r="N39" i="34"/>
  <c r="Q39" i="34"/>
  <c r="M39" i="34"/>
  <c r="L39" i="34"/>
  <c r="P38" i="34"/>
  <c r="O38" i="34"/>
  <c r="N38" i="34"/>
  <c r="Q38" i="34"/>
  <c r="M38" i="34"/>
  <c r="L38" i="34"/>
  <c r="P37" i="34"/>
  <c r="O37" i="34"/>
  <c r="N37" i="34"/>
  <c r="Q37" i="34"/>
  <c r="M37" i="34"/>
  <c r="L37" i="34"/>
  <c r="P36" i="34"/>
  <c r="O36" i="34"/>
  <c r="Q36" i="34"/>
  <c r="N36" i="34"/>
  <c r="M36" i="34"/>
  <c r="L36" i="34"/>
  <c r="P35" i="34"/>
  <c r="O35" i="34"/>
  <c r="N35" i="34"/>
  <c r="Q35" i="34"/>
  <c r="M35" i="34"/>
  <c r="L35" i="34"/>
  <c r="P34" i="34"/>
  <c r="O34" i="34"/>
  <c r="Q34" i="34"/>
  <c r="N34" i="34"/>
  <c r="M34" i="34"/>
  <c r="L34" i="34"/>
  <c r="P33" i="34"/>
  <c r="O33" i="34"/>
  <c r="N33" i="34"/>
  <c r="Q33" i="34"/>
  <c r="M33" i="34"/>
  <c r="L33" i="34"/>
  <c r="P32" i="34"/>
  <c r="O32" i="34"/>
  <c r="Q32" i="34"/>
  <c r="N32" i="34"/>
  <c r="M32" i="34"/>
  <c r="L32" i="34"/>
  <c r="P31" i="34"/>
  <c r="O31" i="34"/>
  <c r="N31" i="34"/>
  <c r="Q31" i="34"/>
  <c r="M31" i="34"/>
  <c r="L31" i="34"/>
  <c r="P30" i="34"/>
  <c r="O30" i="34"/>
  <c r="Q30" i="34"/>
  <c r="N30" i="34"/>
  <c r="M30" i="34"/>
  <c r="L30" i="34"/>
  <c r="P29" i="34"/>
  <c r="O29" i="34"/>
  <c r="N29" i="34"/>
  <c r="Q29" i="34"/>
  <c r="M29" i="34"/>
  <c r="L29" i="34"/>
  <c r="P28" i="34"/>
  <c r="O28" i="34"/>
  <c r="Q28" i="34"/>
  <c r="N28" i="34"/>
  <c r="M28" i="34"/>
  <c r="L28" i="34"/>
  <c r="P27" i="34"/>
  <c r="O27" i="34"/>
  <c r="N27" i="34"/>
  <c r="Q27" i="34"/>
  <c r="M27" i="34"/>
  <c r="L27" i="34"/>
  <c r="P26" i="34"/>
  <c r="O26" i="34"/>
  <c r="Q26" i="34"/>
  <c r="N26" i="34"/>
  <c r="M26" i="34"/>
  <c r="L26" i="34"/>
  <c r="P25" i="34"/>
  <c r="O25" i="34"/>
  <c r="N25" i="34"/>
  <c r="Q25" i="34"/>
  <c r="M25" i="34"/>
  <c r="L25" i="34"/>
  <c r="P24" i="34"/>
  <c r="O24" i="34"/>
  <c r="Q24" i="34"/>
  <c r="N24" i="34"/>
  <c r="M24" i="34"/>
  <c r="L24" i="34"/>
  <c r="P23" i="34"/>
  <c r="O23" i="34"/>
  <c r="N23" i="34"/>
  <c r="Q23" i="34"/>
  <c r="M23" i="34"/>
  <c r="L23" i="34"/>
  <c r="P22" i="34"/>
  <c r="O22" i="34"/>
  <c r="Q22" i="34"/>
  <c r="N22" i="34"/>
  <c r="M22" i="34"/>
  <c r="L22" i="34"/>
  <c r="P21" i="34"/>
  <c r="O21" i="34"/>
  <c r="N21" i="34"/>
  <c r="Q21" i="34"/>
  <c r="M21" i="34"/>
  <c r="L21" i="34"/>
  <c r="P20" i="34"/>
  <c r="O20" i="34"/>
  <c r="N20" i="34"/>
  <c r="Q20" i="34"/>
  <c r="M20" i="34"/>
  <c r="L20" i="34"/>
  <c r="P19" i="34"/>
  <c r="O19" i="34"/>
  <c r="N19" i="34"/>
  <c r="Q19" i="34"/>
  <c r="M19" i="34"/>
  <c r="L19" i="34"/>
  <c r="P18" i="34"/>
  <c r="O18" i="34"/>
  <c r="N18" i="34"/>
  <c r="Q18" i="34"/>
  <c r="M18" i="34"/>
  <c r="L18" i="34"/>
  <c r="P17" i="34"/>
  <c r="O17" i="34"/>
  <c r="N17" i="34"/>
  <c r="Q17" i="34"/>
  <c r="M17" i="34"/>
  <c r="L17" i="34"/>
  <c r="P16" i="34"/>
  <c r="O16" i="34"/>
  <c r="N16" i="34"/>
  <c r="Q16" i="34"/>
  <c r="M16" i="34"/>
  <c r="L16" i="34"/>
  <c r="P15" i="34"/>
  <c r="O15" i="34"/>
  <c r="N15" i="34"/>
  <c r="Q15" i="34"/>
  <c r="M15" i="34"/>
  <c r="L15" i="34"/>
  <c r="P14" i="44"/>
  <c r="O14" i="44"/>
  <c r="N14" i="44"/>
  <c r="Q14" i="44" s="1"/>
  <c r="L14" i="44"/>
  <c r="M14" i="44"/>
  <c r="O16" i="19"/>
  <c r="N16" i="19"/>
  <c r="L16" i="19"/>
  <c r="H16" i="19"/>
  <c r="K16" i="19"/>
  <c r="O15" i="19"/>
  <c r="L15" i="19"/>
  <c r="H15" i="19"/>
  <c r="M15" i="19"/>
  <c r="K26" i="13"/>
  <c r="L27" i="13"/>
  <c r="K28" i="13"/>
  <c r="L28" i="13"/>
  <c r="L29" i="13"/>
  <c r="K30" i="13"/>
  <c r="L30" i="13"/>
  <c r="L33" i="13"/>
  <c r="K25" i="13"/>
  <c r="F25" i="13"/>
  <c r="L24" i="13"/>
  <c r="K24" i="13"/>
  <c r="K145" i="10"/>
  <c r="K144" i="10"/>
  <c r="K142" i="10"/>
  <c r="K141" i="10"/>
  <c r="L140" i="10"/>
  <c r="L139" i="10"/>
  <c r="K138" i="10"/>
  <c r="K137" i="10"/>
  <c r="L137" i="10"/>
  <c r="K136" i="10"/>
  <c r="L136" i="10"/>
  <c r="K135" i="10"/>
  <c r="L134" i="10"/>
  <c r="L17" i="13"/>
  <c r="K20" i="13"/>
  <c r="L20" i="13"/>
  <c r="K21" i="13"/>
  <c r="K22" i="13"/>
  <c r="K19" i="13"/>
  <c r="L142" i="10"/>
  <c r="K29" i="13"/>
  <c r="K18" i="13"/>
  <c r="L25" i="13"/>
  <c r="M16" i="19"/>
  <c r="P16" i="19"/>
  <c r="K15" i="19"/>
  <c r="N15" i="19"/>
  <c r="P15" i="19"/>
  <c r="K143" i="10"/>
  <c r="L143" i="10"/>
  <c r="K134" i="10"/>
  <c r="L135" i="10"/>
  <c r="K140" i="10"/>
  <c r="L141" i="10"/>
  <c r="K27" i="13"/>
  <c r="L26" i="13"/>
  <c r="L144" i="10"/>
  <c r="L145" i="10"/>
  <c r="L138" i="10"/>
  <c r="K139" i="10"/>
  <c r="H22" i="11"/>
  <c r="H146" i="11"/>
  <c r="H145" i="11"/>
  <c r="H144" i="11"/>
  <c r="H143" i="11"/>
  <c r="H142" i="11"/>
  <c r="H141" i="11"/>
  <c r="H140" i="11"/>
  <c r="H139" i="11"/>
  <c r="H138" i="11"/>
  <c r="H137" i="11"/>
  <c r="H136" i="11"/>
  <c r="H135" i="11"/>
  <c r="H134" i="11"/>
  <c r="H133" i="11"/>
  <c r="H132" i="11"/>
  <c r="H131" i="11"/>
  <c r="H130" i="11"/>
  <c r="H129" i="11"/>
  <c r="H128" i="11"/>
  <c r="H127" i="11"/>
  <c r="H126" i="11"/>
  <c r="H125" i="11"/>
  <c r="H124" i="11"/>
  <c r="H123" i="11"/>
  <c r="H122" i="11"/>
  <c r="H121" i="11"/>
  <c r="H120" i="11"/>
  <c r="H119" i="11"/>
  <c r="H118" i="11"/>
  <c r="H117" i="11"/>
  <c r="H116" i="11"/>
  <c r="H115" i="11"/>
  <c r="H114" i="11"/>
  <c r="H113" i="11"/>
  <c r="H112" i="11"/>
  <c r="H111" i="11"/>
  <c r="H110" i="11"/>
  <c r="H109" i="11"/>
  <c r="H108" i="11"/>
  <c r="H106" i="11"/>
  <c r="H105" i="11"/>
  <c r="H104" i="11"/>
  <c r="H103" i="11"/>
  <c r="H101" i="11"/>
  <c r="H100" i="11"/>
  <c r="H99" i="11"/>
  <c r="H98" i="11"/>
  <c r="H97" i="11"/>
  <c r="H96" i="11"/>
  <c r="H95" i="11"/>
  <c r="H94" i="11"/>
  <c r="H93" i="11"/>
  <c r="H92" i="11"/>
  <c r="H91" i="11"/>
  <c r="H90" i="11"/>
  <c r="H89" i="11"/>
  <c r="H83" i="11"/>
  <c r="H82" i="11"/>
  <c r="H37" i="11"/>
  <c r="H19" i="11"/>
  <c r="M19" i="11"/>
  <c r="H18" i="11"/>
  <c r="K18" i="11"/>
  <c r="H29" i="11"/>
  <c r="H28" i="11"/>
  <c r="H26" i="11"/>
  <c r="H25" i="11"/>
  <c r="H21" i="11"/>
  <c r="H20" i="11"/>
  <c r="H17" i="11"/>
  <c r="H16" i="11"/>
  <c r="H22" i="9"/>
  <c r="H21" i="9"/>
  <c r="H20" i="9"/>
  <c r="H19" i="9"/>
  <c r="H18" i="9"/>
  <c r="H17" i="9"/>
  <c r="H16" i="9"/>
  <c r="H22" i="18"/>
  <c r="O19" i="11"/>
  <c r="N19" i="11"/>
  <c r="K19" i="11"/>
  <c r="L19" i="11"/>
  <c r="O18" i="11"/>
  <c r="N18" i="11"/>
  <c r="M18" i="11"/>
  <c r="L18" i="11"/>
  <c r="O21" i="15"/>
  <c r="N21" i="15"/>
  <c r="L21" i="15"/>
  <c r="H21" i="15"/>
  <c r="K21" i="15"/>
  <c r="N20" i="15"/>
  <c r="J20" i="15"/>
  <c r="O20" i="15"/>
  <c r="F20" i="15"/>
  <c r="H20" i="15"/>
  <c r="N19" i="15"/>
  <c r="J19" i="15"/>
  <c r="O19" i="15"/>
  <c r="F19" i="15"/>
  <c r="L19" i="15"/>
  <c r="O18" i="15"/>
  <c r="L18" i="15"/>
  <c r="I18" i="15"/>
  <c r="H18" i="15"/>
  <c r="M18" i="15"/>
  <c r="O17" i="15"/>
  <c r="N17" i="15"/>
  <c r="L17" i="15"/>
  <c r="H17" i="15"/>
  <c r="K17" i="15"/>
  <c r="O16" i="15"/>
  <c r="N16" i="15"/>
  <c r="L16" i="15"/>
  <c r="K16" i="15"/>
  <c r="H16" i="15"/>
  <c r="M16" i="15"/>
  <c r="O15" i="15"/>
  <c r="N15" i="15"/>
  <c r="L15" i="15"/>
  <c r="H15" i="15"/>
  <c r="M15" i="15"/>
  <c r="P19" i="11"/>
  <c r="P18" i="11"/>
  <c r="K18" i="15"/>
  <c r="H19" i="15"/>
  <c r="M19" i="15"/>
  <c r="P15" i="15"/>
  <c r="P16" i="15"/>
  <c r="K19" i="15"/>
  <c r="P19" i="15"/>
  <c r="M20" i="15"/>
  <c r="P20" i="15"/>
  <c r="K20" i="15"/>
  <c r="M21" i="15"/>
  <c r="P21" i="15"/>
  <c r="K15" i="15"/>
  <c r="M17" i="15"/>
  <c r="P17" i="15"/>
  <c r="N18" i="15"/>
  <c r="P18" i="15"/>
  <c r="L20" i="15"/>
  <c r="H18" i="68"/>
  <c r="J18" i="68"/>
  <c r="H17" i="68"/>
  <c r="J17" i="68"/>
  <c r="H16" i="68"/>
  <c r="J16" i="68"/>
  <c r="H15" i="68"/>
  <c r="J15" i="68"/>
  <c r="H14" i="68"/>
  <c r="J14" i="68"/>
  <c r="C13" i="68"/>
  <c r="A2" i="68"/>
  <c r="C13" i="41"/>
  <c r="M30" i="68"/>
  <c r="C30" i="68"/>
  <c r="M29" i="68"/>
  <c r="C29" i="68"/>
  <c r="L28" i="68"/>
  <c r="A24" i="68"/>
  <c r="O13" i="68"/>
  <c r="N13" i="68"/>
  <c r="M13" i="68"/>
  <c r="L13" i="68"/>
  <c r="K13" i="68"/>
  <c r="L9" i="68"/>
  <c r="A7" i="68"/>
  <c r="D6" i="68"/>
  <c r="C6" i="68"/>
  <c r="D5" i="68"/>
  <c r="D4" i="68"/>
  <c r="D3" i="68"/>
  <c r="H1" i="68"/>
  <c r="N21" i="68"/>
  <c r="G29" i="33"/>
  <c r="P13" i="68"/>
  <c r="L21" i="68"/>
  <c r="I29" i="33"/>
  <c r="M21" i="68"/>
  <c r="F29" i="33"/>
  <c r="P21" i="68"/>
  <c r="P7" i="68"/>
  <c r="O21" i="68"/>
  <c r="H29" i="33"/>
  <c r="E29" i="33"/>
  <c r="O89" i="16"/>
  <c r="N89" i="16"/>
  <c r="L89" i="16"/>
  <c r="H89" i="16"/>
  <c r="M89" i="16"/>
  <c r="P89" i="16"/>
  <c r="K89" i="16"/>
  <c r="E51" i="17"/>
  <c r="E36" i="17"/>
  <c r="E30" i="17"/>
  <c r="O18" i="17"/>
  <c r="N18" i="17"/>
  <c r="L18" i="17"/>
  <c r="H18" i="17"/>
  <c r="M18" i="17"/>
  <c r="P18" i="17"/>
  <c r="K18" i="17"/>
  <c r="E43" i="15"/>
  <c r="E41" i="15"/>
  <c r="E59" i="15"/>
  <c r="H15" i="66"/>
  <c r="I14" i="19"/>
  <c r="H14" i="19"/>
  <c r="H32" i="18"/>
  <c r="E32" i="18"/>
  <c r="H31" i="18"/>
  <c r="H30" i="18"/>
  <c r="E30" i="18"/>
  <c r="H29" i="18"/>
  <c r="H28" i="18"/>
  <c r="E28" i="18"/>
  <c r="H27" i="18"/>
  <c r="H26" i="18"/>
  <c r="E26" i="18"/>
  <c r="H25" i="18"/>
  <c r="H24" i="18"/>
  <c r="E24" i="18"/>
  <c r="H23" i="18"/>
  <c r="E23" i="18"/>
  <c r="H21" i="18"/>
  <c r="E21" i="18"/>
  <c r="H20" i="18"/>
  <c r="H19" i="18"/>
  <c r="H18" i="18"/>
  <c r="E18" i="18"/>
  <c r="H17" i="18"/>
  <c r="E17" i="18"/>
  <c r="H16" i="18"/>
  <c r="E16" i="18"/>
  <c r="H15" i="18"/>
  <c r="H14" i="18"/>
  <c r="G59" i="17"/>
  <c r="H59" i="17"/>
  <c r="E59" i="17"/>
  <c r="G58" i="17"/>
  <c r="H58" i="17"/>
  <c r="E58" i="17"/>
  <c r="G57" i="17"/>
  <c r="H57" i="17"/>
  <c r="E57" i="17"/>
  <c r="H56" i="17"/>
  <c r="G55" i="17"/>
  <c r="H55" i="17"/>
  <c r="E55" i="17"/>
  <c r="G54" i="17"/>
  <c r="H54" i="17"/>
  <c r="E54" i="17"/>
  <c r="G53" i="17"/>
  <c r="H53" i="17"/>
  <c r="E53" i="17"/>
  <c r="H52" i="17"/>
  <c r="H51" i="17"/>
  <c r="G50" i="17"/>
  <c r="H50" i="17"/>
  <c r="H49" i="17"/>
  <c r="G48" i="17"/>
  <c r="H48" i="17"/>
  <c r="H47" i="17"/>
  <c r="E47" i="17"/>
  <c r="E49" i="17"/>
  <c r="E50" i="17"/>
  <c r="G46" i="17"/>
  <c r="H46" i="17"/>
  <c r="E46" i="17"/>
  <c r="G45" i="17"/>
  <c r="H45" i="17"/>
  <c r="E45" i="17"/>
  <c r="G44" i="17"/>
  <c r="H44" i="17"/>
  <c r="E44" i="17"/>
  <c r="H43" i="17"/>
  <c r="H42" i="17"/>
  <c r="H41" i="17"/>
  <c r="H40" i="17"/>
  <c r="G39" i="17"/>
  <c r="H39" i="17"/>
  <c r="H38" i="17"/>
  <c r="E39" i="17"/>
  <c r="G37" i="17"/>
  <c r="H37" i="17"/>
  <c r="H36" i="17"/>
  <c r="G35" i="17"/>
  <c r="H35" i="17"/>
  <c r="H34" i="17"/>
  <c r="G33" i="17"/>
  <c r="H33" i="17"/>
  <c r="G32" i="17"/>
  <c r="H32" i="17"/>
  <c r="G31" i="17"/>
  <c r="H31" i="17"/>
  <c r="H30" i="17"/>
  <c r="E33" i="17"/>
  <c r="H29" i="17"/>
  <c r="H28" i="17"/>
  <c r="E28" i="17"/>
  <c r="H27" i="17"/>
  <c r="H26" i="17"/>
  <c r="E26" i="17"/>
  <c r="H25" i="17"/>
  <c r="E25" i="17"/>
  <c r="H24" i="17"/>
  <c r="H23" i="17"/>
  <c r="E23" i="17"/>
  <c r="H22" i="17"/>
  <c r="E22" i="17"/>
  <c r="H21" i="17"/>
  <c r="H20" i="17"/>
  <c r="H19" i="17"/>
  <c r="H17" i="17"/>
  <c r="H16" i="17"/>
  <c r="H15" i="17"/>
  <c r="H14" i="17"/>
  <c r="H91" i="16"/>
  <c r="G88" i="16"/>
  <c r="H88" i="16"/>
  <c r="E88" i="16"/>
  <c r="H64" i="16"/>
  <c r="H63" i="16"/>
  <c r="H62" i="16"/>
  <c r="G61" i="16"/>
  <c r="H61" i="16"/>
  <c r="E61" i="16"/>
  <c r="H58" i="16"/>
  <c r="H57" i="16"/>
  <c r="H56" i="16"/>
  <c r="G55" i="16"/>
  <c r="H55" i="16"/>
  <c r="E55" i="16"/>
  <c r="H52" i="16"/>
  <c r="H51" i="16"/>
  <c r="H50" i="16"/>
  <c r="G49" i="16"/>
  <c r="H49" i="16"/>
  <c r="E49" i="16"/>
  <c r="H45" i="16"/>
  <c r="H44" i="16"/>
  <c r="H43" i="16"/>
  <c r="H42" i="16"/>
  <c r="E42" i="16"/>
  <c r="H37" i="16"/>
  <c r="H36" i="16"/>
  <c r="H35" i="16"/>
  <c r="H34" i="16"/>
  <c r="H33" i="16"/>
  <c r="H32" i="16"/>
  <c r="E32" i="16"/>
  <c r="H31" i="16"/>
  <c r="H30" i="16"/>
  <c r="H29" i="16"/>
  <c r="H28" i="16"/>
  <c r="H27" i="16"/>
  <c r="H26" i="16"/>
  <c r="G24" i="16"/>
  <c r="H24" i="16"/>
  <c r="E24" i="16"/>
  <c r="H17" i="16"/>
  <c r="H16" i="16"/>
  <c r="H15" i="16"/>
  <c r="H14" i="16"/>
  <c r="H72" i="15"/>
  <c r="H71" i="15"/>
  <c r="H70" i="15"/>
  <c r="H69" i="15"/>
  <c r="E69" i="15"/>
  <c r="H68" i="15"/>
  <c r="E68" i="15"/>
  <c r="H67" i="15"/>
  <c r="E67" i="15"/>
  <c r="H66" i="15"/>
  <c r="H65" i="15"/>
  <c r="E65" i="15"/>
  <c r="H64" i="15"/>
  <c r="E64" i="15"/>
  <c r="H63" i="15"/>
  <c r="E63" i="15"/>
  <c r="H62" i="15"/>
  <c r="H61" i="15"/>
  <c r="H60" i="15"/>
  <c r="H59" i="15"/>
  <c r="E60" i="15"/>
  <c r="H58" i="15"/>
  <c r="H57" i="15"/>
  <c r="H56" i="15"/>
  <c r="E56" i="15"/>
  <c r="H55" i="15"/>
  <c r="E55" i="15"/>
  <c r="H54" i="15"/>
  <c r="E54" i="15"/>
  <c r="H53" i="15"/>
  <c r="H52" i="15"/>
  <c r="E52" i="15"/>
  <c r="H51" i="15"/>
  <c r="E51" i="15"/>
  <c r="H50" i="15"/>
  <c r="E50" i="15"/>
  <c r="H49" i="15"/>
  <c r="H48" i="15"/>
  <c r="E48" i="15"/>
  <c r="H47" i="15"/>
  <c r="E47" i="15"/>
  <c r="H46" i="15"/>
  <c r="E46" i="15"/>
  <c r="H45" i="15"/>
  <c r="H44" i="15"/>
  <c r="H43" i="15"/>
  <c r="E44" i="15"/>
  <c r="H42" i="15"/>
  <c r="H41" i="15"/>
  <c r="E42" i="15"/>
  <c r="H40" i="15"/>
  <c r="H39" i="15"/>
  <c r="H38" i="15"/>
  <c r="H37" i="15"/>
  <c r="H36" i="15"/>
  <c r="H35" i="15"/>
  <c r="E35" i="15"/>
  <c r="E36" i="15"/>
  <c r="H34" i="15"/>
  <c r="H33" i="15"/>
  <c r="H32" i="15"/>
  <c r="H31" i="15"/>
  <c r="H30" i="15"/>
  <c r="E30" i="15"/>
  <c r="E32" i="15"/>
  <c r="H29" i="15"/>
  <c r="E29" i="15"/>
  <c r="H28" i="15"/>
  <c r="H27" i="15"/>
  <c r="F26" i="15"/>
  <c r="H26" i="15"/>
  <c r="H25" i="15"/>
  <c r="H24" i="15"/>
  <c r="E24" i="15"/>
  <c r="H23" i="15"/>
  <c r="F21" i="13"/>
  <c r="L21" i="13"/>
  <c r="F15" i="13"/>
  <c r="I23" i="12"/>
  <c r="E22" i="12"/>
  <c r="F21" i="12"/>
  <c r="H18" i="12"/>
  <c r="F17" i="12"/>
  <c r="F16" i="12"/>
  <c r="F15" i="12"/>
  <c r="H147" i="11"/>
  <c r="E147" i="11"/>
  <c r="E142" i="11"/>
  <c r="E144" i="11"/>
  <c r="E141" i="11"/>
  <c r="E133" i="11"/>
  <c r="E137" i="11"/>
  <c r="E132" i="11"/>
  <c r="E124" i="11"/>
  <c r="E128" i="11"/>
  <c r="E122" i="11"/>
  <c r="E123" i="11"/>
  <c r="E115" i="11"/>
  <c r="E119" i="11"/>
  <c r="E113" i="11"/>
  <c r="E114" i="11"/>
  <c r="E107" i="11"/>
  <c r="E110" i="11"/>
  <c r="E102" i="11"/>
  <c r="E105" i="11"/>
  <c r="E97" i="11"/>
  <c r="E96" i="11"/>
  <c r="E95" i="11"/>
  <c r="E94" i="11"/>
  <c r="E29" i="11"/>
  <c r="E28" i="11"/>
  <c r="I21" i="9"/>
  <c r="I20" i="9"/>
  <c r="K33" i="13"/>
  <c r="K31" i="13"/>
  <c r="L32" i="13"/>
  <c r="K32" i="13"/>
  <c r="K17" i="13"/>
  <c r="L22" i="13"/>
  <c r="E32" i="17"/>
  <c r="E31" i="17"/>
  <c r="E48" i="17"/>
  <c r="E34" i="17"/>
  <c r="E33" i="15"/>
  <c r="I34" i="15"/>
  <c r="E31" i="15"/>
  <c r="E37" i="15"/>
  <c r="E61" i="15"/>
  <c r="E143" i="11"/>
  <c r="E104" i="11"/>
  <c r="E134" i="11"/>
  <c r="E136" i="11"/>
  <c r="E109" i="11"/>
  <c r="E116" i="11"/>
  <c r="E118" i="11"/>
  <c r="E125" i="11"/>
  <c r="E127" i="11"/>
  <c r="E103" i="11"/>
  <c r="E135" i="11"/>
  <c r="E108" i="11"/>
  <c r="E117" i="11"/>
  <c r="E126" i="11"/>
  <c r="E35" i="17"/>
  <c r="E37" i="17"/>
  <c r="O88" i="66"/>
  <c r="N88" i="66"/>
  <c r="L88" i="66"/>
  <c r="H88" i="66"/>
  <c r="M88" i="66"/>
  <c r="L87" i="66"/>
  <c r="H87" i="66"/>
  <c r="O80" i="66"/>
  <c r="N80" i="66"/>
  <c r="L80" i="66"/>
  <c r="H80" i="66"/>
  <c r="M80" i="66"/>
  <c r="O79" i="66"/>
  <c r="N79" i="66"/>
  <c r="L79" i="66"/>
  <c r="H79" i="66"/>
  <c r="M79" i="66"/>
  <c r="P79" i="66"/>
  <c r="O78" i="66"/>
  <c r="N78" i="66"/>
  <c r="L78" i="66"/>
  <c r="H78" i="66"/>
  <c r="M78" i="66"/>
  <c r="P78" i="66"/>
  <c r="O77" i="66"/>
  <c r="N77" i="66"/>
  <c r="L77" i="66"/>
  <c r="H77" i="66"/>
  <c r="K77" i="66"/>
  <c r="O75" i="66"/>
  <c r="N75" i="66"/>
  <c r="L75" i="66"/>
  <c r="H75" i="66"/>
  <c r="M75" i="66"/>
  <c r="O76" i="66"/>
  <c r="N76" i="66"/>
  <c r="L76" i="66"/>
  <c r="H76" i="66"/>
  <c r="M76" i="66"/>
  <c r="O74" i="66"/>
  <c r="N74" i="66"/>
  <c r="L74" i="66"/>
  <c r="H74" i="66"/>
  <c r="K74" i="66"/>
  <c r="J23" i="66"/>
  <c r="H26" i="66"/>
  <c r="K26" i="66"/>
  <c r="H25" i="66"/>
  <c r="K76" i="66"/>
  <c r="M77" i="66"/>
  <c r="P77" i="66"/>
  <c r="K79" i="66"/>
  <c r="P80" i="66"/>
  <c r="P88" i="66"/>
  <c r="P76" i="66"/>
  <c r="P75" i="66"/>
  <c r="K88" i="66"/>
  <c r="K87" i="66"/>
  <c r="K80" i="66"/>
  <c r="K78" i="66"/>
  <c r="K75" i="66"/>
  <c r="M74" i="66"/>
  <c r="P74" i="66"/>
  <c r="H23" i="66"/>
  <c r="K25" i="66"/>
  <c r="K23" i="66"/>
  <c r="L40" i="66"/>
  <c r="H40" i="66"/>
  <c r="O72" i="66"/>
  <c r="N72" i="66"/>
  <c r="M72" i="66"/>
  <c r="P72" i="66"/>
  <c r="L72" i="66"/>
  <c r="K72" i="66"/>
  <c r="J71" i="66"/>
  <c r="K70" i="66"/>
  <c r="O69" i="66"/>
  <c r="N69" i="66"/>
  <c r="M69" i="66"/>
  <c r="L69" i="66"/>
  <c r="K69" i="66"/>
  <c r="O68" i="66"/>
  <c r="N68" i="66"/>
  <c r="L68" i="66"/>
  <c r="H68" i="66"/>
  <c r="M68" i="66"/>
  <c r="O67" i="66"/>
  <c r="N67" i="66"/>
  <c r="L67" i="66"/>
  <c r="H67" i="66"/>
  <c r="K67" i="66"/>
  <c r="L66" i="66"/>
  <c r="H66" i="66"/>
  <c r="K66" i="66"/>
  <c r="H65" i="66"/>
  <c r="K65" i="66"/>
  <c r="O64" i="66"/>
  <c r="N64" i="66"/>
  <c r="M64" i="66"/>
  <c r="L64" i="66"/>
  <c r="K64" i="66"/>
  <c r="K63" i="66"/>
  <c r="K62" i="66"/>
  <c r="L61" i="66"/>
  <c r="K61" i="66"/>
  <c r="O60" i="66"/>
  <c r="N60" i="66"/>
  <c r="M60" i="66"/>
  <c r="L60" i="66"/>
  <c r="K60" i="66"/>
  <c r="O59" i="66"/>
  <c r="N59" i="66"/>
  <c r="M59" i="66"/>
  <c r="L59" i="66"/>
  <c r="K59" i="66"/>
  <c r="O58" i="66"/>
  <c r="N58" i="66"/>
  <c r="L58" i="66"/>
  <c r="H58" i="66"/>
  <c r="M58" i="66"/>
  <c r="L57" i="66"/>
  <c r="H57" i="66"/>
  <c r="K57" i="66"/>
  <c r="H56" i="66"/>
  <c r="K56" i="66"/>
  <c r="L50" i="66"/>
  <c r="H50" i="66"/>
  <c r="K40" i="66"/>
  <c r="P58" i="66"/>
  <c r="K58" i="66"/>
  <c r="P59" i="66"/>
  <c r="P68" i="66"/>
  <c r="P60" i="66"/>
  <c r="P64" i="66"/>
  <c r="P69" i="66"/>
  <c r="M67" i="66"/>
  <c r="P67" i="66"/>
  <c r="L56" i="66"/>
  <c r="L65" i="66"/>
  <c r="K68" i="66"/>
  <c r="K71" i="66"/>
  <c r="K50" i="66"/>
  <c r="L70" i="66"/>
  <c r="L63" i="66"/>
  <c r="L62" i="66"/>
  <c r="L71" i="66"/>
  <c r="O16" i="66"/>
  <c r="N16" i="66"/>
  <c r="L16" i="66"/>
  <c r="H16" i="66"/>
  <c r="K16" i="66"/>
  <c r="O15" i="66"/>
  <c r="N15" i="66"/>
  <c r="L15" i="66"/>
  <c r="K15" i="66"/>
  <c r="O55" i="66"/>
  <c r="N55" i="66"/>
  <c r="L55" i="66"/>
  <c r="H55" i="66"/>
  <c r="K55" i="66"/>
  <c r="L54" i="66"/>
  <c r="H54" i="66"/>
  <c r="O53" i="66"/>
  <c r="N53" i="66"/>
  <c r="L53" i="66"/>
  <c r="H53" i="66"/>
  <c r="M53" i="66"/>
  <c r="O52" i="66"/>
  <c r="N52" i="66"/>
  <c r="L52" i="66"/>
  <c r="H52" i="66"/>
  <c r="K52" i="66"/>
  <c r="O51" i="66"/>
  <c r="N51" i="66"/>
  <c r="L51" i="66"/>
  <c r="H51" i="66"/>
  <c r="K51" i="66"/>
  <c r="O49" i="66"/>
  <c r="N49" i="66"/>
  <c r="M49" i="66"/>
  <c r="L49" i="66"/>
  <c r="K49" i="66"/>
  <c r="O47" i="66"/>
  <c r="N47" i="66"/>
  <c r="L47" i="66"/>
  <c r="H47" i="66"/>
  <c r="K47" i="66"/>
  <c r="O46" i="66"/>
  <c r="N46" i="66"/>
  <c r="L46" i="66"/>
  <c r="H46" i="66"/>
  <c r="K46" i="66"/>
  <c r="O73" i="66"/>
  <c r="N73" i="66"/>
  <c r="L73" i="66"/>
  <c r="H73" i="66"/>
  <c r="K73" i="66"/>
  <c r="L44" i="66"/>
  <c r="H44" i="66"/>
  <c r="K44" i="66"/>
  <c r="L43" i="66"/>
  <c r="H43" i="66"/>
  <c r="K43" i="66"/>
  <c r="L42" i="66"/>
  <c r="H42" i="66"/>
  <c r="K42" i="66"/>
  <c r="O41" i="66"/>
  <c r="N41" i="66"/>
  <c r="M41" i="66"/>
  <c r="L41" i="66"/>
  <c r="K41" i="66"/>
  <c r="H39" i="66"/>
  <c r="K39" i="66"/>
  <c r="H38" i="66"/>
  <c r="K38" i="66"/>
  <c r="O37" i="66"/>
  <c r="N37" i="66"/>
  <c r="M37" i="66"/>
  <c r="L37" i="66"/>
  <c r="K37" i="66"/>
  <c r="L36" i="66"/>
  <c r="H36" i="66"/>
  <c r="L35" i="66"/>
  <c r="H35" i="66"/>
  <c r="L34" i="66"/>
  <c r="H34" i="66"/>
  <c r="K34" i="66"/>
  <c r="O33" i="66"/>
  <c r="N33" i="66"/>
  <c r="M33" i="66"/>
  <c r="L33" i="66"/>
  <c r="K33" i="66"/>
  <c r="H24" i="66"/>
  <c r="K24" i="66"/>
  <c r="J22" i="66"/>
  <c r="F22" i="66"/>
  <c r="O21" i="66"/>
  <c r="N21" i="66"/>
  <c r="M21" i="66"/>
  <c r="L21" i="66"/>
  <c r="K21" i="66"/>
  <c r="O20" i="66"/>
  <c r="N20" i="66"/>
  <c r="L20" i="66"/>
  <c r="H20" i="66"/>
  <c r="K20" i="66"/>
  <c r="H19" i="66"/>
  <c r="H18" i="66"/>
  <c r="K18" i="66"/>
  <c r="O17" i="66"/>
  <c r="N17" i="66"/>
  <c r="L17" i="66"/>
  <c r="H17" i="66"/>
  <c r="K17" i="66"/>
  <c r="O14" i="66"/>
  <c r="N14" i="66"/>
  <c r="L14" i="66"/>
  <c r="H14" i="66"/>
  <c r="M14" i="66"/>
  <c r="M20" i="66"/>
  <c r="P20" i="66"/>
  <c r="M55" i="66"/>
  <c r="P55" i="66"/>
  <c r="M15" i="66"/>
  <c r="P15" i="66"/>
  <c r="P21" i="66"/>
  <c r="K35" i="66"/>
  <c r="P49" i="66"/>
  <c r="P53" i="66"/>
  <c r="P33" i="66"/>
  <c r="P41" i="66"/>
  <c r="M51" i="66"/>
  <c r="P51" i="66"/>
  <c r="K53" i="66"/>
  <c r="M16" i="66"/>
  <c r="P16" i="66"/>
  <c r="M52" i="66"/>
  <c r="P52" i="66"/>
  <c r="K54" i="66"/>
  <c r="K19" i="66"/>
  <c r="H22" i="66"/>
  <c r="K36" i="66"/>
  <c r="M46" i="66"/>
  <c r="P46" i="66"/>
  <c r="P14" i="66"/>
  <c r="K14" i="66"/>
  <c r="P37" i="66"/>
  <c r="L38" i="66"/>
  <c r="L39" i="66"/>
  <c r="M17" i="66"/>
  <c r="P17" i="66"/>
  <c r="M73" i="66"/>
  <c r="P73" i="66"/>
  <c r="M47" i="66"/>
  <c r="P47" i="66"/>
  <c r="L22" i="66"/>
  <c r="K22" i="66"/>
  <c r="L23" i="66"/>
  <c r="L24" i="66"/>
  <c r="L25" i="66"/>
  <c r="L26" i="66"/>
  <c r="L18" i="66"/>
  <c r="L19" i="66"/>
  <c r="C13" i="55"/>
  <c r="M16" i="60"/>
  <c r="N16" i="60"/>
  <c r="O16" i="60"/>
  <c r="L16" i="60"/>
  <c r="K16" i="60"/>
  <c r="M15" i="60"/>
  <c r="N15" i="60"/>
  <c r="O15" i="60"/>
  <c r="L15" i="60"/>
  <c r="K15" i="60"/>
  <c r="M15" i="59"/>
  <c r="M64" i="59"/>
  <c r="F25" i="54"/>
  <c r="N15" i="59"/>
  <c r="N64" i="59"/>
  <c r="G25" i="54"/>
  <c r="O15" i="59"/>
  <c r="O64" i="59"/>
  <c r="H25" i="54"/>
  <c r="L15" i="59"/>
  <c r="N43" i="57"/>
  <c r="Q43" i="57"/>
  <c r="O43" i="57"/>
  <c r="P43" i="57"/>
  <c r="M43" i="57"/>
  <c r="L43" i="57"/>
  <c r="N42" i="57"/>
  <c r="O42" i="57"/>
  <c r="P42" i="57"/>
  <c r="Q42" i="57"/>
  <c r="M42" i="57"/>
  <c r="L42" i="57"/>
  <c r="N41" i="57"/>
  <c r="O41" i="57"/>
  <c r="P41" i="57"/>
  <c r="M41" i="57"/>
  <c r="L41" i="57"/>
  <c r="N40" i="57"/>
  <c r="Q40" i="57"/>
  <c r="O40" i="57"/>
  <c r="P40" i="57"/>
  <c r="M40" i="57"/>
  <c r="L40" i="57"/>
  <c r="L39" i="57"/>
  <c r="N39" i="57"/>
  <c r="O39" i="57"/>
  <c r="Q39" i="57"/>
  <c r="P39" i="57"/>
  <c r="M39" i="57"/>
  <c r="N38" i="57"/>
  <c r="Q38" i="57"/>
  <c r="O38" i="57"/>
  <c r="P38" i="57"/>
  <c r="M38" i="57"/>
  <c r="L38" i="57"/>
  <c r="N37" i="57"/>
  <c r="O37" i="57"/>
  <c r="P37" i="57"/>
  <c r="Q37" i="57"/>
  <c r="M37" i="57"/>
  <c r="L37" i="57"/>
  <c r="O36" i="57"/>
  <c r="P36" i="57"/>
  <c r="M36" i="57"/>
  <c r="L35" i="57"/>
  <c r="N35" i="57"/>
  <c r="Q35" i="57"/>
  <c r="O35" i="57"/>
  <c r="P35" i="57"/>
  <c r="M35" i="57"/>
  <c r="N34" i="57"/>
  <c r="Q34" i="57"/>
  <c r="O34" i="57"/>
  <c r="P34" i="57"/>
  <c r="M34" i="57"/>
  <c r="L34" i="57"/>
  <c r="N33" i="57"/>
  <c r="Q33" i="57"/>
  <c r="O33" i="57"/>
  <c r="P33" i="57"/>
  <c r="M33" i="57"/>
  <c r="L33" i="57"/>
  <c r="O32" i="57"/>
  <c r="P32" i="57"/>
  <c r="M32" i="57"/>
  <c r="L31" i="57"/>
  <c r="N31" i="57"/>
  <c r="Q31" i="57"/>
  <c r="O31" i="57"/>
  <c r="P31" i="57"/>
  <c r="M31" i="57"/>
  <c r="N30" i="57"/>
  <c r="O30" i="57"/>
  <c r="P30" i="57"/>
  <c r="M30" i="57"/>
  <c r="L30" i="57"/>
  <c r="N29" i="57"/>
  <c r="Q29" i="57"/>
  <c r="O29" i="57"/>
  <c r="P29" i="57"/>
  <c r="M29" i="57"/>
  <c r="L29" i="57"/>
  <c r="N28" i="57"/>
  <c r="Q28" i="57"/>
  <c r="O28" i="57"/>
  <c r="P28" i="57"/>
  <c r="M28" i="57"/>
  <c r="L28" i="57"/>
  <c r="N27" i="57"/>
  <c r="O27" i="57"/>
  <c r="P27" i="57"/>
  <c r="M27" i="57"/>
  <c r="L27" i="57"/>
  <c r="N26" i="57"/>
  <c r="O26" i="57"/>
  <c r="P26" i="57"/>
  <c r="M26" i="57"/>
  <c r="L26" i="57"/>
  <c r="N25" i="57"/>
  <c r="Q25" i="57"/>
  <c r="O25" i="57"/>
  <c r="P25" i="57"/>
  <c r="M25" i="57"/>
  <c r="L25" i="57"/>
  <c r="N24" i="57"/>
  <c r="O24" i="57"/>
  <c r="P24" i="57"/>
  <c r="M24" i="57"/>
  <c r="L24" i="57"/>
  <c r="N23" i="57"/>
  <c r="O23" i="57"/>
  <c r="P23" i="57"/>
  <c r="M23" i="57"/>
  <c r="L23" i="57"/>
  <c r="N22" i="57"/>
  <c r="Q22" i="57"/>
  <c r="O22" i="57"/>
  <c r="P22" i="57"/>
  <c r="M22" i="57"/>
  <c r="L22" i="57"/>
  <c r="N21" i="57"/>
  <c r="Q21" i="57"/>
  <c r="O21" i="57"/>
  <c r="P21" i="57"/>
  <c r="M21" i="57"/>
  <c r="L21" i="57"/>
  <c r="N20" i="57"/>
  <c r="O20" i="57"/>
  <c r="P20" i="57"/>
  <c r="M20" i="57"/>
  <c r="L20" i="57"/>
  <c r="N19" i="57"/>
  <c r="O19" i="57"/>
  <c r="P19" i="57"/>
  <c r="M19" i="57"/>
  <c r="L19" i="57"/>
  <c r="N18" i="57"/>
  <c r="O18" i="57"/>
  <c r="P18" i="57"/>
  <c r="M18" i="57"/>
  <c r="L18" i="57"/>
  <c r="N17" i="57"/>
  <c r="O17" i="57"/>
  <c r="P17" i="57"/>
  <c r="M17" i="57"/>
  <c r="L17" i="57"/>
  <c r="N16" i="57"/>
  <c r="Q16" i="57"/>
  <c r="O16" i="57"/>
  <c r="P16" i="57"/>
  <c r="M16" i="57"/>
  <c r="L16" i="57"/>
  <c r="N15" i="57"/>
  <c r="O15" i="57"/>
  <c r="Q15" i="57"/>
  <c r="P15" i="57"/>
  <c r="M15" i="57"/>
  <c r="L15" i="57"/>
  <c r="N14" i="57"/>
  <c r="O14" i="57"/>
  <c r="P14" i="57"/>
  <c r="M14" i="57"/>
  <c r="L14" i="57"/>
  <c r="N14" i="56"/>
  <c r="Q14" i="56"/>
  <c r="O14" i="56"/>
  <c r="P14" i="56"/>
  <c r="M14" i="56"/>
  <c r="M42" i="56"/>
  <c r="I22" i="54"/>
  <c r="L14" i="56"/>
  <c r="N14" i="55"/>
  <c r="Q14" i="55"/>
  <c r="O14" i="55"/>
  <c r="P14" i="55"/>
  <c r="P50" i="55"/>
  <c r="H21" i="54"/>
  <c r="M14" i="55"/>
  <c r="M50" i="55"/>
  <c r="I21" i="54"/>
  <c r="L14" i="55"/>
  <c r="C13" i="44"/>
  <c r="N13" i="35"/>
  <c r="O13" i="35"/>
  <c r="Q13" i="35"/>
  <c r="P13" i="35"/>
  <c r="D36" i="33"/>
  <c r="N13" i="34"/>
  <c r="N114" i="34"/>
  <c r="F21" i="33"/>
  <c r="N34" i="35"/>
  <c r="F22" i="33"/>
  <c r="N13" i="36"/>
  <c r="N13" i="37"/>
  <c r="N143" i="37"/>
  <c r="F24" i="33"/>
  <c r="N13" i="38"/>
  <c r="N79" i="38"/>
  <c r="F25" i="33"/>
  <c r="N13" i="39"/>
  <c r="N106" i="39"/>
  <c r="F26" i="33"/>
  <c r="I13" i="40"/>
  <c r="N13" i="40" s="1"/>
  <c r="Q13" i="40" s="1"/>
  <c r="N13" i="41"/>
  <c r="N50" i="41"/>
  <c r="F28" i="33"/>
  <c r="N13" i="42"/>
  <c r="N13" i="43"/>
  <c r="N13" i="44"/>
  <c r="N48" i="44"/>
  <c r="F32" i="33" s="1"/>
  <c r="D38" i="33"/>
  <c r="O13" i="34"/>
  <c r="O114" i="34"/>
  <c r="G21" i="33"/>
  <c r="O34" i="35"/>
  <c r="G22" i="33"/>
  <c r="O13" i="36"/>
  <c r="O13" i="37"/>
  <c r="O13" i="38"/>
  <c r="O13" i="39"/>
  <c r="O106" i="39"/>
  <c r="G26" i="33"/>
  <c r="O13" i="40"/>
  <c r="O13" i="41"/>
  <c r="O50" i="41"/>
  <c r="G28" i="33"/>
  <c r="O13" i="42"/>
  <c r="O13" i="43"/>
  <c r="O22" i="43"/>
  <c r="G31" i="33"/>
  <c r="O13" i="44"/>
  <c r="P13" i="34"/>
  <c r="P114" i="34"/>
  <c r="H21" i="33"/>
  <c r="P34" i="35"/>
  <c r="H22" i="33"/>
  <c r="P13" i="36"/>
  <c r="P13" i="37"/>
  <c r="P13" i="38"/>
  <c r="P79" i="38"/>
  <c r="H25" i="33"/>
  <c r="P13" i="39"/>
  <c r="P106" i="39"/>
  <c r="H26" i="33"/>
  <c r="P13" i="40"/>
  <c r="P13" i="41"/>
  <c r="P13" i="42"/>
  <c r="P13" i="43"/>
  <c r="P13" i="44"/>
  <c r="D29" i="54"/>
  <c r="N13" i="55"/>
  <c r="N13" i="56"/>
  <c r="N42" i="56"/>
  <c r="F22" i="54"/>
  <c r="N13" i="57"/>
  <c r="N45" i="57"/>
  <c r="F23" i="54"/>
  <c r="N13" i="58"/>
  <c r="M13" i="59"/>
  <c r="M13" i="60"/>
  <c r="D31" i="54"/>
  <c r="O13" i="55"/>
  <c r="O13" i="56"/>
  <c r="O13" i="57"/>
  <c r="O13" i="58"/>
  <c r="N13" i="59"/>
  <c r="N13" i="60"/>
  <c r="P13" i="55"/>
  <c r="P13" i="56"/>
  <c r="P13" i="57"/>
  <c r="P13" i="58"/>
  <c r="O13" i="59"/>
  <c r="O13" i="60"/>
  <c r="D24" i="65"/>
  <c r="D26" i="65"/>
  <c r="M13" i="56"/>
  <c r="M13" i="57"/>
  <c r="M13" i="58"/>
  <c r="L13" i="59"/>
  <c r="L13" i="60"/>
  <c r="L60" i="60"/>
  <c r="M13" i="55"/>
  <c r="Q13" i="55"/>
  <c r="L15" i="10"/>
  <c r="L16" i="10"/>
  <c r="L17" i="10"/>
  <c r="L18" i="10"/>
  <c r="L21" i="10"/>
  <c r="L22" i="10"/>
  <c r="L25" i="10"/>
  <c r="L26" i="10"/>
  <c r="L29" i="10"/>
  <c r="L30" i="10"/>
  <c r="L32" i="10"/>
  <c r="L33" i="10"/>
  <c r="L36" i="10"/>
  <c r="L37" i="10"/>
  <c r="L40" i="10"/>
  <c r="L41" i="10"/>
  <c r="L44" i="10"/>
  <c r="L45" i="10"/>
  <c r="L47" i="10"/>
  <c r="L48" i="10"/>
  <c r="L51" i="10"/>
  <c r="L52" i="10"/>
  <c r="L55" i="10"/>
  <c r="L56" i="10"/>
  <c r="L59" i="10"/>
  <c r="L60" i="10"/>
  <c r="L62" i="10"/>
  <c r="L63" i="10"/>
  <c r="L66" i="10"/>
  <c r="L67" i="10"/>
  <c r="L70" i="10"/>
  <c r="L71" i="10"/>
  <c r="L74" i="10"/>
  <c r="L75" i="10"/>
  <c r="L77" i="10"/>
  <c r="L78" i="10"/>
  <c r="L81" i="10"/>
  <c r="L82" i="10"/>
  <c r="L85" i="10"/>
  <c r="L86" i="10"/>
  <c r="L89" i="10"/>
  <c r="L90" i="10"/>
  <c r="L92" i="10"/>
  <c r="L93" i="10"/>
  <c r="L96" i="10"/>
  <c r="L97" i="10"/>
  <c r="L100" i="10"/>
  <c r="L101" i="10"/>
  <c r="L104" i="10"/>
  <c r="L105" i="10"/>
  <c r="L107" i="10"/>
  <c r="L108" i="10"/>
  <c r="L111" i="10"/>
  <c r="L112" i="10"/>
  <c r="L115" i="10"/>
  <c r="L116" i="10"/>
  <c r="L118" i="10"/>
  <c r="L119" i="10"/>
  <c r="L121" i="10"/>
  <c r="L122" i="10"/>
  <c r="L125" i="10"/>
  <c r="L126" i="10"/>
  <c r="L129" i="10"/>
  <c r="L130" i="10"/>
  <c r="L132" i="10"/>
  <c r="L133" i="10"/>
  <c r="M13" i="35"/>
  <c r="M34" i="35"/>
  <c r="M13" i="36"/>
  <c r="M13" i="37"/>
  <c r="M143" i="37"/>
  <c r="I24" i="33"/>
  <c r="M13" i="38"/>
  <c r="M79" i="38"/>
  <c r="I25" i="33"/>
  <c r="M13" i="39"/>
  <c r="M106" i="39"/>
  <c r="M13" i="40"/>
  <c r="M13" i="41"/>
  <c r="M50" i="41"/>
  <c r="I28" i="33"/>
  <c r="M13" i="42"/>
  <c r="M40" i="42"/>
  <c r="I30" i="33"/>
  <c r="M13" i="43"/>
  <c r="M22" i="43"/>
  <c r="I31" i="33"/>
  <c r="M13" i="44"/>
  <c r="M48" i="44" s="1"/>
  <c r="I32" i="33" s="1"/>
  <c r="M13" i="34"/>
  <c r="M114" i="34"/>
  <c r="I21" i="33"/>
  <c r="Q13" i="36"/>
  <c r="Q13" i="37"/>
  <c r="Q13" i="38"/>
  <c r="Q13" i="39"/>
  <c r="Q13" i="41"/>
  <c r="Q13" i="42"/>
  <c r="Q13" i="43"/>
  <c r="L13" i="10"/>
  <c r="L14" i="10"/>
  <c r="N54" i="57"/>
  <c r="C54" i="57"/>
  <c r="C65" i="58"/>
  <c r="N53" i="57"/>
  <c r="C53" i="57"/>
  <c r="M52" i="57"/>
  <c r="A48" i="57"/>
  <c r="N115" i="36"/>
  <c r="C115" i="36"/>
  <c r="N114" i="36"/>
  <c r="C114" i="36"/>
  <c r="M113" i="36"/>
  <c r="A109" i="36"/>
  <c r="M158" i="11"/>
  <c r="C158" i="11"/>
  <c r="M157" i="11"/>
  <c r="C157" i="11"/>
  <c r="L156" i="11"/>
  <c r="M27" i="19"/>
  <c r="C27" i="19"/>
  <c r="M26" i="19"/>
  <c r="C26" i="19"/>
  <c r="L25" i="19"/>
  <c r="M83" i="15"/>
  <c r="C83" i="15"/>
  <c r="M82" i="15"/>
  <c r="C82" i="15"/>
  <c r="L81" i="15"/>
  <c r="M102" i="16"/>
  <c r="C102" i="16"/>
  <c r="M101" i="16"/>
  <c r="C101" i="16"/>
  <c r="L100" i="16"/>
  <c r="M70" i="17"/>
  <c r="C70" i="17"/>
  <c r="M69" i="17"/>
  <c r="C69" i="17"/>
  <c r="L68" i="17"/>
  <c r="M43" i="18"/>
  <c r="C43" i="18"/>
  <c r="M42" i="18"/>
  <c r="C42" i="18"/>
  <c r="L41" i="18"/>
  <c r="M102" i="14"/>
  <c r="C102" i="14"/>
  <c r="M101" i="14"/>
  <c r="C101" i="14"/>
  <c r="L100" i="14"/>
  <c r="M34" i="12"/>
  <c r="C34" i="12"/>
  <c r="M33" i="12"/>
  <c r="C33" i="12"/>
  <c r="L32" i="12"/>
  <c r="M67" i="13"/>
  <c r="C67" i="13"/>
  <c r="M66" i="13"/>
  <c r="C66" i="13"/>
  <c r="L65" i="13"/>
  <c r="M234" i="10"/>
  <c r="C234" i="10"/>
  <c r="M233" i="10"/>
  <c r="C233" i="10"/>
  <c r="L232" i="10"/>
  <c r="M33" i="9"/>
  <c r="C33" i="9"/>
  <c r="M32" i="9"/>
  <c r="C32" i="9"/>
  <c r="L31" i="9"/>
  <c r="L13" i="11"/>
  <c r="L14" i="11"/>
  <c r="L16" i="11"/>
  <c r="L17" i="11"/>
  <c r="L20" i="11"/>
  <c r="L21" i="11"/>
  <c r="L22" i="11"/>
  <c r="L25" i="11"/>
  <c r="L26" i="11"/>
  <c r="L28" i="11"/>
  <c r="L29" i="11"/>
  <c r="L37" i="11"/>
  <c r="L82" i="11"/>
  <c r="L83"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L119" i="11"/>
  <c r="L120" i="11"/>
  <c r="L121" i="11"/>
  <c r="L122" i="11"/>
  <c r="L123" i="11"/>
  <c r="L124" i="11"/>
  <c r="L125" i="11"/>
  <c r="L126" i="11"/>
  <c r="L127" i="11"/>
  <c r="L128" i="11"/>
  <c r="L129" i="11"/>
  <c r="L130" i="11"/>
  <c r="L131" i="11"/>
  <c r="L132" i="11"/>
  <c r="L133" i="11"/>
  <c r="L134" i="11"/>
  <c r="L135" i="11"/>
  <c r="L136" i="11"/>
  <c r="L137" i="11"/>
  <c r="L138" i="11"/>
  <c r="L139" i="11"/>
  <c r="L140" i="11"/>
  <c r="L141" i="11"/>
  <c r="L142" i="11"/>
  <c r="L143" i="11"/>
  <c r="L144" i="11"/>
  <c r="L145" i="11"/>
  <c r="L146" i="11"/>
  <c r="L147" i="11"/>
  <c r="I22" i="33"/>
  <c r="I26" i="33"/>
  <c r="I26" i="54"/>
  <c r="I1" i="42"/>
  <c r="H1" i="17"/>
  <c r="N152" i="37"/>
  <c r="C152" i="37"/>
  <c r="N151" i="37"/>
  <c r="C151" i="37"/>
  <c r="M150" i="37"/>
  <c r="A146" i="37"/>
  <c r="N88" i="38"/>
  <c r="C88" i="38"/>
  <c r="N87" i="38"/>
  <c r="C87" i="38"/>
  <c r="M86" i="38"/>
  <c r="A82" i="38"/>
  <c r="N115" i="39"/>
  <c r="C115" i="39"/>
  <c r="N114" i="39"/>
  <c r="C114" i="39"/>
  <c r="M113" i="39"/>
  <c r="A109" i="39"/>
  <c r="N222" i="40"/>
  <c r="C222" i="40"/>
  <c r="N221" i="40"/>
  <c r="C221" i="40"/>
  <c r="M220" i="40"/>
  <c r="A216" i="40"/>
  <c r="N59" i="41"/>
  <c r="C59" i="41"/>
  <c r="N58" i="41"/>
  <c r="C58" i="41"/>
  <c r="M57" i="41"/>
  <c r="A53" i="41"/>
  <c r="N49" i="42"/>
  <c r="C49" i="42"/>
  <c r="N48" i="42"/>
  <c r="C48" i="42"/>
  <c r="M47" i="42"/>
  <c r="A43" i="42"/>
  <c r="N31" i="43"/>
  <c r="C31" i="43"/>
  <c r="N30" i="43"/>
  <c r="C30" i="43"/>
  <c r="M29" i="43"/>
  <c r="A25" i="43"/>
  <c r="N57" i="44"/>
  <c r="C57" i="44"/>
  <c r="N56" i="44"/>
  <c r="C56" i="44"/>
  <c r="M55" i="44"/>
  <c r="A51" i="44"/>
  <c r="N43" i="35"/>
  <c r="C43" i="35"/>
  <c r="N42" i="35"/>
  <c r="C42" i="35"/>
  <c r="M41" i="35"/>
  <c r="A37" i="35"/>
  <c r="K14" i="9"/>
  <c r="L14" i="9"/>
  <c r="M14" i="9"/>
  <c r="N14" i="9"/>
  <c r="O14" i="9"/>
  <c r="K15" i="9"/>
  <c r="L15" i="9"/>
  <c r="M15" i="9"/>
  <c r="N15" i="9"/>
  <c r="O15" i="9"/>
  <c r="K16" i="9"/>
  <c r="L16" i="9"/>
  <c r="M16" i="9"/>
  <c r="N16" i="9"/>
  <c r="O16" i="9"/>
  <c r="K17" i="9"/>
  <c r="L17" i="9"/>
  <c r="M17" i="9"/>
  <c r="N17" i="9"/>
  <c r="O17" i="9"/>
  <c r="K18" i="9"/>
  <c r="L18" i="9"/>
  <c r="K19" i="9"/>
  <c r="L19" i="9"/>
  <c r="K20" i="9"/>
  <c r="L20" i="9"/>
  <c r="K21" i="9"/>
  <c r="L21" i="9"/>
  <c r="K22" i="9"/>
  <c r="L22" i="9"/>
  <c r="O14" i="19"/>
  <c r="N14" i="19"/>
  <c r="M14" i="19"/>
  <c r="K14" i="19"/>
  <c r="L14" i="19"/>
  <c r="O147" i="11"/>
  <c r="N147" i="11"/>
  <c r="M147" i="11"/>
  <c r="P147" i="11"/>
  <c r="K147" i="11"/>
  <c r="M146" i="11"/>
  <c r="N146" i="11"/>
  <c r="O146" i="11"/>
  <c r="K146" i="11"/>
  <c r="O145" i="11"/>
  <c r="N145" i="11"/>
  <c r="M145" i="11"/>
  <c r="K145" i="11"/>
  <c r="O144" i="11"/>
  <c r="N144" i="11"/>
  <c r="M144" i="11"/>
  <c r="K144" i="11"/>
  <c r="O143" i="11"/>
  <c r="N143" i="11"/>
  <c r="M143" i="11"/>
  <c r="K143" i="11"/>
  <c r="O142" i="11"/>
  <c r="N142" i="11"/>
  <c r="M142" i="11"/>
  <c r="K142" i="11"/>
  <c r="O141" i="11"/>
  <c r="N141" i="11"/>
  <c r="M141" i="11"/>
  <c r="K141" i="11"/>
  <c r="O140" i="11"/>
  <c r="N140" i="11"/>
  <c r="M140" i="11"/>
  <c r="K140" i="11"/>
  <c r="O139" i="11"/>
  <c r="N139" i="11"/>
  <c r="M139" i="11"/>
  <c r="K139" i="11"/>
  <c r="O138" i="11"/>
  <c r="N138" i="11"/>
  <c r="M138" i="11"/>
  <c r="K138" i="11"/>
  <c r="O137" i="11"/>
  <c r="N137" i="11"/>
  <c r="M137" i="11"/>
  <c r="K137" i="11"/>
  <c r="O136" i="11"/>
  <c r="N136" i="11"/>
  <c r="M136" i="11"/>
  <c r="K136" i="11"/>
  <c r="O135" i="11"/>
  <c r="N135" i="11"/>
  <c r="M135" i="11"/>
  <c r="K135" i="11"/>
  <c r="O134" i="11"/>
  <c r="N134" i="11"/>
  <c r="M134" i="11"/>
  <c r="K134" i="11"/>
  <c r="O133" i="11"/>
  <c r="N133" i="11"/>
  <c r="M133" i="11"/>
  <c r="K133" i="11"/>
  <c r="O132" i="11"/>
  <c r="N132" i="11"/>
  <c r="M132" i="11"/>
  <c r="K132" i="11"/>
  <c r="O131" i="11"/>
  <c r="N131" i="11"/>
  <c r="M131" i="11"/>
  <c r="K131" i="11"/>
  <c r="O130" i="11"/>
  <c r="N130" i="11"/>
  <c r="M130" i="11"/>
  <c r="K130" i="11"/>
  <c r="O129" i="11"/>
  <c r="N129" i="11"/>
  <c r="M129" i="11"/>
  <c r="K129" i="11"/>
  <c r="O128" i="11"/>
  <c r="N128" i="11"/>
  <c r="M128" i="11"/>
  <c r="K128" i="11"/>
  <c r="O127" i="11"/>
  <c r="N127" i="11"/>
  <c r="M127" i="11"/>
  <c r="K127" i="11"/>
  <c r="O126" i="11"/>
  <c r="N126" i="11"/>
  <c r="M126" i="11"/>
  <c r="K126" i="11"/>
  <c r="O125" i="11"/>
  <c r="N125" i="11"/>
  <c r="M125" i="11"/>
  <c r="K125" i="11"/>
  <c r="O124" i="11"/>
  <c r="N124" i="11"/>
  <c r="M124" i="11"/>
  <c r="K124" i="11"/>
  <c r="O123" i="11"/>
  <c r="N123" i="11"/>
  <c r="M123" i="11"/>
  <c r="K123" i="11"/>
  <c r="O122" i="11"/>
  <c r="N122" i="11"/>
  <c r="M122" i="11"/>
  <c r="K122" i="11"/>
  <c r="O121" i="11"/>
  <c r="N121" i="11"/>
  <c r="M121" i="11"/>
  <c r="K121" i="11"/>
  <c r="O120" i="11"/>
  <c r="N120" i="11"/>
  <c r="M120" i="11"/>
  <c r="K120" i="11"/>
  <c r="O119" i="11"/>
  <c r="N119" i="11"/>
  <c r="M119" i="11"/>
  <c r="K119" i="11"/>
  <c r="M118" i="11"/>
  <c r="N118" i="11"/>
  <c r="O118" i="11"/>
  <c r="K118" i="11"/>
  <c r="O117" i="11"/>
  <c r="N117" i="11"/>
  <c r="M117" i="11"/>
  <c r="K117" i="11"/>
  <c r="O116" i="11"/>
  <c r="N116" i="11"/>
  <c r="M116" i="11"/>
  <c r="K116" i="11"/>
  <c r="O115" i="11"/>
  <c r="N115" i="11"/>
  <c r="M115" i="11"/>
  <c r="K115" i="11"/>
  <c r="M114" i="11"/>
  <c r="N114" i="11"/>
  <c r="O114" i="11"/>
  <c r="K114" i="11"/>
  <c r="O113" i="11"/>
  <c r="N113" i="11"/>
  <c r="M113" i="11"/>
  <c r="K113" i="11"/>
  <c r="O112" i="11"/>
  <c r="N112" i="11"/>
  <c r="M112" i="11"/>
  <c r="K112" i="11"/>
  <c r="O111" i="11"/>
  <c r="N111" i="11"/>
  <c r="M111" i="11"/>
  <c r="K111" i="11"/>
  <c r="M110" i="11"/>
  <c r="N110" i="11"/>
  <c r="O110" i="11"/>
  <c r="K110" i="11"/>
  <c r="O109" i="11"/>
  <c r="N109" i="11"/>
  <c r="M109" i="11"/>
  <c r="K109" i="11"/>
  <c r="O108" i="11"/>
  <c r="N108" i="11"/>
  <c r="M108" i="11"/>
  <c r="K108" i="11"/>
  <c r="O107" i="11"/>
  <c r="N107" i="11"/>
  <c r="K107" i="11"/>
  <c r="M106" i="11"/>
  <c r="N106" i="11"/>
  <c r="O106" i="11"/>
  <c r="K106" i="11"/>
  <c r="O105" i="11"/>
  <c r="N105" i="11"/>
  <c r="M105" i="11"/>
  <c r="K105" i="11"/>
  <c r="O104" i="11"/>
  <c r="N104" i="11"/>
  <c r="M104" i="11"/>
  <c r="K104" i="11"/>
  <c r="O103" i="11"/>
  <c r="N103" i="11"/>
  <c r="M103" i="11"/>
  <c r="K103" i="11"/>
  <c r="N102" i="11"/>
  <c r="O102" i="11"/>
  <c r="K102" i="11"/>
  <c r="O101" i="11"/>
  <c r="N101" i="11"/>
  <c r="M101" i="11"/>
  <c r="K101" i="11"/>
  <c r="O100" i="11"/>
  <c r="N100" i="11"/>
  <c r="M100" i="11"/>
  <c r="K100" i="11"/>
  <c r="O99" i="11"/>
  <c r="N99" i="11"/>
  <c r="M99" i="11"/>
  <c r="K99" i="11"/>
  <c r="O98" i="11"/>
  <c r="N98" i="11"/>
  <c r="M98" i="11"/>
  <c r="K98" i="11"/>
  <c r="O97" i="11"/>
  <c r="N97" i="11"/>
  <c r="M97" i="11"/>
  <c r="K97" i="11"/>
  <c r="M96" i="11"/>
  <c r="N96" i="11"/>
  <c r="O96" i="11"/>
  <c r="K96" i="11"/>
  <c r="O95" i="11"/>
  <c r="N95" i="11"/>
  <c r="M95" i="11"/>
  <c r="K95" i="11"/>
  <c r="M94" i="11"/>
  <c r="N94" i="11"/>
  <c r="O94" i="11"/>
  <c r="K94" i="11"/>
  <c r="O93" i="11"/>
  <c r="N93" i="11"/>
  <c r="M93" i="11"/>
  <c r="K93" i="11"/>
  <c r="M92" i="11"/>
  <c r="N92" i="11"/>
  <c r="O92" i="11"/>
  <c r="K92" i="11"/>
  <c r="O91" i="11"/>
  <c r="N91" i="11"/>
  <c r="M91" i="11"/>
  <c r="K91" i="11"/>
  <c r="O90" i="11"/>
  <c r="N90" i="11"/>
  <c r="M90" i="11"/>
  <c r="K90" i="11"/>
  <c r="O89" i="11"/>
  <c r="N89" i="11"/>
  <c r="M89" i="11"/>
  <c r="K89" i="11"/>
  <c r="N88" i="11"/>
  <c r="O88" i="11"/>
  <c r="O87" i="11"/>
  <c r="N87" i="11"/>
  <c r="N86" i="11"/>
  <c r="O86" i="11"/>
  <c r="O85" i="11"/>
  <c r="N85" i="11"/>
  <c r="N84" i="11"/>
  <c r="O84" i="11"/>
  <c r="O83" i="11"/>
  <c r="N83" i="11"/>
  <c r="M83" i="11"/>
  <c r="K83" i="11"/>
  <c r="O82" i="11"/>
  <c r="N82" i="11"/>
  <c r="M82" i="11"/>
  <c r="P82" i="11"/>
  <c r="K82" i="11"/>
  <c r="O81" i="11"/>
  <c r="N81" i="11"/>
  <c r="N80" i="11"/>
  <c r="O80" i="11"/>
  <c r="O79" i="11"/>
  <c r="N79" i="11"/>
  <c r="N78" i="11"/>
  <c r="O78" i="11"/>
  <c r="O77" i="11"/>
  <c r="N77" i="11"/>
  <c r="N76" i="11"/>
  <c r="O76" i="11"/>
  <c r="O75" i="11"/>
  <c r="N75" i="11"/>
  <c r="O74" i="11"/>
  <c r="N74" i="11"/>
  <c r="O73" i="11"/>
  <c r="N73" i="11"/>
  <c r="O72" i="11"/>
  <c r="N72" i="11"/>
  <c r="O71" i="11"/>
  <c r="N71" i="11"/>
  <c r="O70" i="11"/>
  <c r="N70" i="11"/>
  <c r="O69" i="11"/>
  <c r="N69" i="11"/>
  <c r="O68" i="11"/>
  <c r="N68" i="11"/>
  <c r="N67" i="11"/>
  <c r="O67" i="11"/>
  <c r="O66" i="11"/>
  <c r="N66" i="11"/>
  <c r="O65" i="11"/>
  <c r="N65" i="11"/>
  <c r="O64" i="11"/>
  <c r="N64" i="11"/>
  <c r="N63" i="11"/>
  <c r="O63" i="11"/>
  <c r="O62" i="11"/>
  <c r="N62" i="11"/>
  <c r="O60" i="11"/>
  <c r="N60" i="11"/>
  <c r="N58" i="11"/>
  <c r="O58" i="11"/>
  <c r="O57" i="11"/>
  <c r="N57" i="11"/>
  <c r="O56" i="11"/>
  <c r="N56" i="11"/>
  <c r="O55" i="11"/>
  <c r="N55" i="11"/>
  <c r="N54" i="11"/>
  <c r="O54" i="11"/>
  <c r="O53" i="11"/>
  <c r="N53" i="11"/>
  <c r="O52" i="11"/>
  <c r="N52" i="11"/>
  <c r="O51" i="11"/>
  <c r="N51" i="11"/>
  <c r="N50" i="11"/>
  <c r="O50" i="11"/>
  <c r="O49" i="11"/>
  <c r="N49" i="11"/>
  <c r="O48" i="11"/>
  <c r="N48" i="11"/>
  <c r="N44" i="11"/>
  <c r="O44" i="11"/>
  <c r="O43" i="11"/>
  <c r="N43" i="11"/>
  <c r="O42" i="11"/>
  <c r="N42" i="11"/>
  <c r="O41" i="11"/>
  <c r="N41" i="11"/>
  <c r="N40" i="11"/>
  <c r="O40" i="11"/>
  <c r="O39" i="11"/>
  <c r="N39" i="11"/>
  <c r="O38" i="11"/>
  <c r="N38" i="11"/>
  <c r="O37" i="11"/>
  <c r="N37" i="11"/>
  <c r="M37" i="11"/>
  <c r="K37" i="11"/>
  <c r="O29" i="11"/>
  <c r="N29" i="11"/>
  <c r="M29" i="11"/>
  <c r="K29" i="11"/>
  <c r="O28" i="11"/>
  <c r="N28" i="11"/>
  <c r="M28" i="11"/>
  <c r="K28" i="11"/>
  <c r="O27" i="11"/>
  <c r="N27" i="11"/>
  <c r="M26" i="11"/>
  <c r="O26" i="11"/>
  <c r="K26" i="11"/>
  <c r="K25" i="11"/>
  <c r="O23" i="11"/>
  <c r="N23" i="11"/>
  <c r="M22" i="11"/>
  <c r="N22" i="11"/>
  <c r="O22" i="11"/>
  <c r="K22" i="11"/>
  <c r="O21" i="11"/>
  <c r="N21" i="11"/>
  <c r="M21" i="11"/>
  <c r="K21" i="11"/>
  <c r="O20" i="11"/>
  <c r="N20" i="11"/>
  <c r="M20" i="11"/>
  <c r="K20" i="11"/>
  <c r="O17" i="11"/>
  <c r="M17" i="11"/>
  <c r="K17" i="11"/>
  <c r="K16" i="11"/>
  <c r="O14" i="11"/>
  <c r="N14" i="11"/>
  <c r="M14" i="11"/>
  <c r="K14" i="11"/>
  <c r="O23" i="12"/>
  <c r="N23" i="12"/>
  <c r="P23" i="12"/>
  <c r="M23" i="12"/>
  <c r="K23" i="12"/>
  <c r="L23" i="12"/>
  <c r="O22" i="12"/>
  <c r="N22" i="12"/>
  <c r="M22" i="12"/>
  <c r="K22" i="12"/>
  <c r="L22" i="12"/>
  <c r="O21" i="12"/>
  <c r="M21" i="12"/>
  <c r="N21" i="12"/>
  <c r="K21" i="12"/>
  <c r="L21" i="12"/>
  <c r="O20" i="12"/>
  <c r="N20" i="12"/>
  <c r="M20" i="12"/>
  <c r="K20" i="12"/>
  <c r="L20" i="12"/>
  <c r="O19" i="12"/>
  <c r="N19" i="12"/>
  <c r="P19" i="12"/>
  <c r="M19" i="12"/>
  <c r="K19" i="12"/>
  <c r="L19" i="12"/>
  <c r="O18" i="12"/>
  <c r="N18" i="12"/>
  <c r="M18" i="12"/>
  <c r="K18" i="12"/>
  <c r="L18" i="12"/>
  <c r="O17" i="12"/>
  <c r="M17" i="12"/>
  <c r="P17" i="12"/>
  <c r="N17" i="12"/>
  <c r="K17" i="12"/>
  <c r="L17" i="12"/>
  <c r="O16" i="12"/>
  <c r="N16" i="12"/>
  <c r="M16" i="12"/>
  <c r="P16" i="12"/>
  <c r="K16" i="12"/>
  <c r="L16" i="12"/>
  <c r="O15" i="12"/>
  <c r="M15" i="12"/>
  <c r="K15" i="12"/>
  <c r="L15" i="12"/>
  <c r="O14" i="12"/>
  <c r="N14" i="12"/>
  <c r="M14" i="12"/>
  <c r="K14" i="12"/>
  <c r="L14" i="12"/>
  <c r="K55" i="13"/>
  <c r="L55" i="13"/>
  <c r="L54" i="13"/>
  <c r="K54" i="13"/>
  <c r="K53" i="13"/>
  <c r="L53" i="13"/>
  <c r="K52" i="13"/>
  <c r="L52" i="13"/>
  <c r="K51" i="13"/>
  <c r="L51" i="13"/>
  <c r="L50" i="13"/>
  <c r="K50" i="13"/>
  <c r="K49" i="13"/>
  <c r="L49" i="13"/>
  <c r="K48" i="13"/>
  <c r="L48" i="13"/>
  <c r="K47" i="13"/>
  <c r="L47" i="13"/>
  <c r="L46" i="13"/>
  <c r="K46" i="13"/>
  <c r="K45" i="13"/>
  <c r="L45" i="13"/>
  <c r="K44" i="13"/>
  <c r="L44" i="13"/>
  <c r="K43" i="13"/>
  <c r="L43" i="13"/>
  <c r="L42" i="13"/>
  <c r="K42" i="13"/>
  <c r="K41" i="13"/>
  <c r="L41" i="13"/>
  <c r="K40" i="13"/>
  <c r="L40" i="13"/>
  <c r="K39" i="13"/>
  <c r="L39" i="13"/>
  <c r="K38" i="13"/>
  <c r="K37" i="13"/>
  <c r="L37" i="13"/>
  <c r="K36" i="13"/>
  <c r="L36" i="13"/>
  <c r="K35" i="13"/>
  <c r="L35" i="13"/>
  <c r="L34" i="13"/>
  <c r="K34" i="13"/>
  <c r="K23" i="13"/>
  <c r="L23" i="13"/>
  <c r="K16" i="13"/>
  <c r="K15" i="13"/>
  <c r="K14" i="13"/>
  <c r="L14" i="13"/>
  <c r="K91" i="14"/>
  <c r="L91" i="14"/>
  <c r="K90" i="14"/>
  <c r="L90" i="14"/>
  <c r="K14" i="14"/>
  <c r="L14" i="14"/>
  <c r="O72" i="15"/>
  <c r="N72" i="15"/>
  <c r="M72" i="15"/>
  <c r="P72" i="15"/>
  <c r="K72" i="15"/>
  <c r="L72" i="15"/>
  <c r="O71" i="15"/>
  <c r="N71" i="15"/>
  <c r="M71" i="15"/>
  <c r="K71" i="15"/>
  <c r="L71" i="15"/>
  <c r="M70" i="15"/>
  <c r="N70" i="15"/>
  <c r="O70" i="15"/>
  <c r="K70" i="15"/>
  <c r="L70" i="15"/>
  <c r="O69" i="15"/>
  <c r="P69" i="15"/>
  <c r="N69" i="15"/>
  <c r="M69" i="15"/>
  <c r="K69" i="15"/>
  <c r="L69" i="15"/>
  <c r="O68" i="15"/>
  <c r="N68" i="15"/>
  <c r="M68" i="15"/>
  <c r="K68" i="15"/>
  <c r="L68" i="15"/>
  <c r="O67" i="15"/>
  <c r="N67" i="15"/>
  <c r="M67" i="15"/>
  <c r="K67" i="15"/>
  <c r="L67" i="15"/>
  <c r="O66" i="15"/>
  <c r="M66" i="15"/>
  <c r="N66" i="15"/>
  <c r="K66" i="15"/>
  <c r="L66" i="15"/>
  <c r="O65" i="15"/>
  <c r="N65" i="15"/>
  <c r="M65" i="15"/>
  <c r="K65" i="15"/>
  <c r="L65" i="15"/>
  <c r="O64" i="15"/>
  <c r="N64" i="15"/>
  <c r="M64" i="15"/>
  <c r="K64" i="15"/>
  <c r="L64" i="15"/>
  <c r="O63" i="15"/>
  <c r="N63" i="15"/>
  <c r="M63" i="15"/>
  <c r="K63" i="15"/>
  <c r="L63" i="15"/>
  <c r="O62" i="15"/>
  <c r="N62" i="15"/>
  <c r="M62" i="15"/>
  <c r="K62" i="15"/>
  <c r="L62" i="15"/>
  <c r="O61" i="15"/>
  <c r="N61" i="15"/>
  <c r="M61" i="15"/>
  <c r="K61" i="15"/>
  <c r="L61" i="15"/>
  <c r="O60" i="15"/>
  <c r="N60" i="15"/>
  <c r="M60" i="15"/>
  <c r="K60" i="15"/>
  <c r="L60" i="15"/>
  <c r="O59" i="15"/>
  <c r="N59" i="15"/>
  <c r="M59" i="15"/>
  <c r="K59" i="15"/>
  <c r="L59" i="15"/>
  <c r="O58" i="15"/>
  <c r="N58" i="15"/>
  <c r="M58" i="15"/>
  <c r="K58" i="15"/>
  <c r="L58" i="15"/>
  <c r="O57" i="15"/>
  <c r="P57" i="15"/>
  <c r="N57" i="15"/>
  <c r="M57" i="15"/>
  <c r="K57" i="15"/>
  <c r="L57" i="15"/>
  <c r="O56" i="15"/>
  <c r="N56" i="15"/>
  <c r="M56" i="15"/>
  <c r="K56" i="15"/>
  <c r="L56" i="15"/>
  <c r="O55" i="15"/>
  <c r="N55" i="15"/>
  <c r="M55" i="15"/>
  <c r="K55" i="15"/>
  <c r="L55" i="15"/>
  <c r="M54" i="15"/>
  <c r="N54" i="15"/>
  <c r="O54" i="15"/>
  <c r="K54" i="15"/>
  <c r="L54" i="15"/>
  <c r="O53" i="15"/>
  <c r="P53" i="15"/>
  <c r="N53" i="15"/>
  <c r="M53" i="15"/>
  <c r="K53" i="15"/>
  <c r="L53" i="15"/>
  <c r="O52" i="15"/>
  <c r="N52" i="15"/>
  <c r="M52" i="15"/>
  <c r="P52" i="15"/>
  <c r="K52" i="15"/>
  <c r="L52" i="15"/>
  <c r="O51" i="15"/>
  <c r="N51" i="15"/>
  <c r="M51" i="15"/>
  <c r="K51" i="15"/>
  <c r="L51" i="15"/>
  <c r="O50" i="15"/>
  <c r="M50" i="15"/>
  <c r="N50" i="15"/>
  <c r="K50" i="15"/>
  <c r="L50" i="15"/>
  <c r="O49" i="15"/>
  <c r="N49" i="15"/>
  <c r="M49" i="15"/>
  <c r="K49" i="15"/>
  <c r="L49" i="15"/>
  <c r="O48" i="15"/>
  <c r="N48" i="15"/>
  <c r="M48" i="15"/>
  <c r="P48" i="15"/>
  <c r="K48" i="15"/>
  <c r="L48" i="15"/>
  <c r="O47" i="15"/>
  <c r="N47" i="15"/>
  <c r="M47" i="15"/>
  <c r="K47" i="15"/>
  <c r="L47" i="15"/>
  <c r="O46" i="15"/>
  <c r="N46" i="15"/>
  <c r="M46" i="15"/>
  <c r="K46" i="15"/>
  <c r="L46" i="15"/>
  <c r="O45" i="15"/>
  <c r="N45" i="15"/>
  <c r="M45" i="15"/>
  <c r="K45" i="15"/>
  <c r="L45" i="15"/>
  <c r="O44" i="15"/>
  <c r="N44" i="15"/>
  <c r="M44" i="15"/>
  <c r="P44" i="15"/>
  <c r="K44" i="15"/>
  <c r="L44" i="15"/>
  <c r="O43" i="15"/>
  <c r="N43" i="15"/>
  <c r="M43" i="15"/>
  <c r="K43" i="15"/>
  <c r="L43" i="15"/>
  <c r="O42" i="15"/>
  <c r="N42" i="15"/>
  <c r="M42" i="15"/>
  <c r="K42" i="15"/>
  <c r="L42" i="15"/>
  <c r="O41" i="15"/>
  <c r="P41" i="15"/>
  <c r="N41" i="15"/>
  <c r="M41" i="15"/>
  <c r="K41" i="15"/>
  <c r="L41" i="15"/>
  <c r="O40" i="15"/>
  <c r="N40" i="15"/>
  <c r="M40" i="15"/>
  <c r="K40" i="15"/>
  <c r="L40" i="15"/>
  <c r="O39" i="15"/>
  <c r="N39" i="15"/>
  <c r="M39" i="15"/>
  <c r="K39" i="15"/>
  <c r="L39" i="15"/>
  <c r="M38" i="15"/>
  <c r="N38" i="15"/>
  <c r="O38" i="15"/>
  <c r="K38" i="15"/>
  <c r="L38" i="15"/>
  <c r="O37" i="15"/>
  <c r="N37" i="15"/>
  <c r="M37" i="15"/>
  <c r="K37" i="15"/>
  <c r="L37" i="15"/>
  <c r="O36" i="15"/>
  <c r="N36" i="15"/>
  <c r="M36" i="15"/>
  <c r="K36" i="15"/>
  <c r="L36" i="15"/>
  <c r="O35" i="15"/>
  <c r="N35" i="15"/>
  <c r="M35" i="15"/>
  <c r="K35" i="15"/>
  <c r="L35" i="15"/>
  <c r="O34" i="15"/>
  <c r="M34" i="15"/>
  <c r="N34" i="15"/>
  <c r="K34" i="15"/>
  <c r="L34" i="15"/>
  <c r="O33" i="15"/>
  <c r="N33" i="15"/>
  <c r="M33" i="15"/>
  <c r="K33" i="15"/>
  <c r="L33" i="15"/>
  <c r="O32" i="15"/>
  <c r="N32" i="15"/>
  <c r="M32" i="15"/>
  <c r="P32" i="15"/>
  <c r="K32" i="15"/>
  <c r="L32" i="15"/>
  <c r="O31" i="15"/>
  <c r="N31" i="15"/>
  <c r="M31" i="15"/>
  <c r="K31" i="15"/>
  <c r="L31" i="15"/>
  <c r="O30" i="15"/>
  <c r="N30" i="15"/>
  <c r="M30" i="15"/>
  <c r="K30" i="15"/>
  <c r="L30" i="15"/>
  <c r="O29" i="15"/>
  <c r="N29" i="15"/>
  <c r="M29" i="15"/>
  <c r="K29" i="15"/>
  <c r="L29" i="15"/>
  <c r="O28" i="15"/>
  <c r="N28" i="15"/>
  <c r="M28" i="15"/>
  <c r="P28" i="15"/>
  <c r="K28" i="15"/>
  <c r="L28" i="15"/>
  <c r="O27" i="15"/>
  <c r="N27" i="15"/>
  <c r="M27" i="15"/>
  <c r="K27" i="15"/>
  <c r="L27" i="15"/>
  <c r="O26" i="15"/>
  <c r="N26" i="15"/>
  <c r="M26" i="15"/>
  <c r="K26" i="15"/>
  <c r="L26" i="15"/>
  <c r="O25" i="15"/>
  <c r="P25" i="15"/>
  <c r="N25" i="15"/>
  <c r="M25" i="15"/>
  <c r="K25" i="15"/>
  <c r="L25" i="15"/>
  <c r="O24" i="15"/>
  <c r="M24" i="15"/>
  <c r="K24" i="15"/>
  <c r="L24" i="15"/>
  <c r="O23" i="15"/>
  <c r="N23" i="15"/>
  <c r="M23" i="15"/>
  <c r="K23" i="15"/>
  <c r="L23" i="15"/>
  <c r="M22" i="15"/>
  <c r="N22" i="15"/>
  <c r="O22" i="15"/>
  <c r="K22" i="15"/>
  <c r="L22" i="15"/>
  <c r="O14" i="15"/>
  <c r="N14" i="15"/>
  <c r="M14" i="15"/>
  <c r="K14" i="15"/>
  <c r="L14" i="15"/>
  <c r="O91" i="16"/>
  <c r="N91" i="16"/>
  <c r="P91" i="16"/>
  <c r="M91" i="16"/>
  <c r="K91" i="16"/>
  <c r="L91" i="16"/>
  <c r="O88" i="16"/>
  <c r="N88" i="16"/>
  <c r="M88" i="16"/>
  <c r="K88" i="16"/>
  <c r="L88" i="16"/>
  <c r="O87" i="16"/>
  <c r="N87" i="16"/>
  <c r="M87" i="16"/>
  <c r="K87" i="16"/>
  <c r="L87" i="16"/>
  <c r="O86" i="16"/>
  <c r="M86" i="16"/>
  <c r="N86" i="16"/>
  <c r="K86" i="16"/>
  <c r="L86" i="16"/>
  <c r="O85" i="16"/>
  <c r="N85" i="16"/>
  <c r="P85" i="16"/>
  <c r="M85" i="16"/>
  <c r="K85" i="16"/>
  <c r="L85" i="16"/>
  <c r="O84" i="16"/>
  <c r="N84" i="16"/>
  <c r="M84" i="16"/>
  <c r="K84" i="16"/>
  <c r="L84" i="16"/>
  <c r="O83" i="16"/>
  <c r="N83" i="16"/>
  <c r="M83" i="16"/>
  <c r="K83" i="16"/>
  <c r="L83" i="16"/>
  <c r="O82" i="16"/>
  <c r="N82" i="16"/>
  <c r="M82" i="16"/>
  <c r="K82" i="16"/>
  <c r="L82" i="16"/>
  <c r="O81" i="16"/>
  <c r="N81" i="16"/>
  <c r="M81" i="16"/>
  <c r="K81" i="16"/>
  <c r="L81" i="16"/>
  <c r="O80" i="16"/>
  <c r="N80" i="16"/>
  <c r="M80" i="16"/>
  <c r="K80" i="16"/>
  <c r="L80" i="16"/>
  <c r="O79" i="16"/>
  <c r="N79" i="16"/>
  <c r="P79" i="16"/>
  <c r="M79" i="16"/>
  <c r="K79" i="16"/>
  <c r="L79" i="16"/>
  <c r="O78" i="16"/>
  <c r="N78" i="16"/>
  <c r="M78" i="16"/>
  <c r="K78" i="16"/>
  <c r="L78" i="16"/>
  <c r="O77" i="16"/>
  <c r="N77" i="16"/>
  <c r="M77" i="16"/>
  <c r="K77" i="16"/>
  <c r="L77" i="16"/>
  <c r="O76" i="16"/>
  <c r="N76" i="16"/>
  <c r="M76" i="16"/>
  <c r="K76" i="16"/>
  <c r="L76" i="16"/>
  <c r="O75" i="16"/>
  <c r="N75" i="16"/>
  <c r="M75" i="16"/>
  <c r="K75" i="16"/>
  <c r="L75" i="16"/>
  <c r="M74" i="16"/>
  <c r="N74" i="16"/>
  <c r="O74" i="16"/>
  <c r="K74" i="16"/>
  <c r="L74" i="16"/>
  <c r="O73" i="16"/>
  <c r="N73" i="16"/>
  <c r="M73" i="16"/>
  <c r="K73" i="16"/>
  <c r="L73" i="16"/>
  <c r="O72" i="16"/>
  <c r="N72" i="16"/>
  <c r="M72" i="16"/>
  <c r="P72" i="16"/>
  <c r="K72" i="16"/>
  <c r="L72" i="16"/>
  <c r="O71" i="16"/>
  <c r="N71" i="16"/>
  <c r="M71" i="16"/>
  <c r="K71" i="16"/>
  <c r="L71" i="16"/>
  <c r="O70" i="16"/>
  <c r="M70" i="16"/>
  <c r="N70" i="16"/>
  <c r="K70" i="16"/>
  <c r="L70" i="16"/>
  <c r="O69" i="16"/>
  <c r="N69" i="16"/>
  <c r="M69" i="16"/>
  <c r="K69" i="16"/>
  <c r="L69" i="16"/>
  <c r="O68" i="16"/>
  <c r="N68" i="16"/>
  <c r="M68" i="16"/>
  <c r="P68" i="16"/>
  <c r="K68" i="16"/>
  <c r="L68" i="16"/>
  <c r="O67" i="16"/>
  <c r="N67" i="16"/>
  <c r="M67" i="16"/>
  <c r="K67" i="16"/>
  <c r="L67" i="16"/>
  <c r="O66" i="16"/>
  <c r="N66" i="16"/>
  <c r="M66" i="16"/>
  <c r="K66" i="16"/>
  <c r="L66" i="16"/>
  <c r="O65" i="16"/>
  <c r="N65" i="16"/>
  <c r="M65" i="16"/>
  <c r="K65" i="16"/>
  <c r="L65" i="16"/>
  <c r="O64" i="16"/>
  <c r="N64" i="16"/>
  <c r="M64" i="16"/>
  <c r="P64" i="16"/>
  <c r="K64" i="16"/>
  <c r="L64" i="16"/>
  <c r="O63" i="16"/>
  <c r="N63" i="16"/>
  <c r="M63" i="16"/>
  <c r="K63" i="16"/>
  <c r="L63" i="16"/>
  <c r="O62" i="16"/>
  <c r="N62" i="16"/>
  <c r="M62" i="16"/>
  <c r="K62" i="16"/>
  <c r="L62" i="16"/>
  <c r="O61" i="16"/>
  <c r="N61" i="16"/>
  <c r="M61" i="16"/>
  <c r="K61" i="16"/>
  <c r="L61" i="16"/>
  <c r="O60" i="16"/>
  <c r="N60" i="16"/>
  <c r="M60" i="16"/>
  <c r="K60" i="16"/>
  <c r="L60" i="16"/>
  <c r="O59" i="16"/>
  <c r="N59" i="16"/>
  <c r="P59" i="16"/>
  <c r="M59" i="16"/>
  <c r="K59" i="16"/>
  <c r="L59" i="16"/>
  <c r="M58" i="16"/>
  <c r="N58" i="16"/>
  <c r="P58" i="16"/>
  <c r="O58" i="16"/>
  <c r="K58" i="16"/>
  <c r="L58" i="16"/>
  <c r="O57" i="16"/>
  <c r="N57" i="16"/>
  <c r="M57" i="16"/>
  <c r="P57" i="16"/>
  <c r="K57" i="16"/>
  <c r="L57" i="16"/>
  <c r="O56" i="16"/>
  <c r="N56" i="16"/>
  <c r="P56" i="16"/>
  <c r="M56" i="16"/>
  <c r="K56" i="16"/>
  <c r="L56" i="16"/>
  <c r="O55" i="16"/>
  <c r="N55" i="16"/>
  <c r="M55" i="16"/>
  <c r="K55" i="16"/>
  <c r="L55" i="16"/>
  <c r="O54" i="16"/>
  <c r="M54" i="16"/>
  <c r="N54" i="16"/>
  <c r="K54" i="16"/>
  <c r="L54" i="16"/>
  <c r="O53" i="16"/>
  <c r="N53" i="16"/>
  <c r="M53" i="16"/>
  <c r="K53" i="16"/>
  <c r="L53" i="16"/>
  <c r="O52" i="16"/>
  <c r="N52" i="16"/>
  <c r="M52" i="16"/>
  <c r="K52" i="16"/>
  <c r="L52" i="16"/>
  <c r="O51" i="16"/>
  <c r="P51" i="16"/>
  <c r="N51" i="16"/>
  <c r="M51" i="16"/>
  <c r="K51" i="16"/>
  <c r="L51" i="16"/>
  <c r="O50" i="16"/>
  <c r="N50" i="16"/>
  <c r="M50" i="16"/>
  <c r="K50" i="16"/>
  <c r="L50" i="16"/>
  <c r="O49" i="16"/>
  <c r="N49" i="16"/>
  <c r="M49" i="16"/>
  <c r="K49" i="16"/>
  <c r="L49" i="16"/>
  <c r="O48" i="16"/>
  <c r="N48" i="16"/>
  <c r="M48" i="16"/>
  <c r="K48" i="16"/>
  <c r="L48" i="16"/>
  <c r="O47" i="16"/>
  <c r="N47" i="16"/>
  <c r="M47" i="16"/>
  <c r="K47" i="16"/>
  <c r="L47" i="16"/>
  <c r="O46" i="16"/>
  <c r="N46" i="16"/>
  <c r="M46" i="16"/>
  <c r="K46" i="16"/>
  <c r="L46" i="16"/>
  <c r="O45" i="16"/>
  <c r="N45" i="16"/>
  <c r="M45" i="16"/>
  <c r="K45" i="16"/>
  <c r="L45" i="16"/>
  <c r="O44" i="16"/>
  <c r="N44" i="16"/>
  <c r="M44" i="16"/>
  <c r="K44" i="16"/>
  <c r="L44" i="16"/>
  <c r="O43" i="16"/>
  <c r="P43" i="16"/>
  <c r="N43" i="16"/>
  <c r="M43" i="16"/>
  <c r="K43" i="16"/>
  <c r="L43" i="16"/>
  <c r="O42" i="16"/>
  <c r="N42" i="16"/>
  <c r="M42" i="16"/>
  <c r="K42" i="16"/>
  <c r="L42" i="16"/>
  <c r="O41" i="16"/>
  <c r="N41" i="16"/>
  <c r="M41" i="16"/>
  <c r="K41" i="16"/>
  <c r="L41" i="16"/>
  <c r="O40" i="16"/>
  <c r="N40" i="16"/>
  <c r="P40" i="16"/>
  <c r="M40" i="16"/>
  <c r="K40" i="16"/>
  <c r="L40" i="16"/>
  <c r="O39" i="16"/>
  <c r="N39" i="16"/>
  <c r="M39" i="16"/>
  <c r="K39" i="16"/>
  <c r="L39" i="16"/>
  <c r="O38" i="16"/>
  <c r="N38" i="16"/>
  <c r="M38" i="16"/>
  <c r="K38" i="16"/>
  <c r="L38" i="16"/>
  <c r="O37" i="16"/>
  <c r="N37" i="16"/>
  <c r="M37" i="16"/>
  <c r="P37" i="16"/>
  <c r="K37" i="16"/>
  <c r="L37" i="16"/>
  <c r="O36" i="16"/>
  <c r="N36" i="16"/>
  <c r="M36" i="16"/>
  <c r="K36" i="16"/>
  <c r="L36" i="16"/>
  <c r="O35" i="16"/>
  <c r="N35" i="16"/>
  <c r="M35" i="16"/>
  <c r="K35" i="16"/>
  <c r="L35" i="16"/>
  <c r="O34" i="16"/>
  <c r="N34" i="16"/>
  <c r="M34" i="16"/>
  <c r="K34" i="16"/>
  <c r="L34" i="16"/>
  <c r="O33" i="16"/>
  <c r="N33" i="16"/>
  <c r="M33" i="16"/>
  <c r="K33" i="16"/>
  <c r="L33" i="16"/>
  <c r="O32" i="16"/>
  <c r="N32" i="16"/>
  <c r="M32" i="16"/>
  <c r="K32" i="16"/>
  <c r="L32" i="16"/>
  <c r="O31" i="16"/>
  <c r="N31" i="16"/>
  <c r="M31" i="16"/>
  <c r="K31" i="16"/>
  <c r="L31" i="16"/>
  <c r="O30" i="16"/>
  <c r="N30" i="16"/>
  <c r="M30" i="16"/>
  <c r="K30" i="16"/>
  <c r="L30" i="16"/>
  <c r="O29" i="16"/>
  <c r="N29" i="16"/>
  <c r="M29" i="16"/>
  <c r="P29" i="16"/>
  <c r="K29" i="16"/>
  <c r="L29" i="16"/>
  <c r="O28" i="16"/>
  <c r="N28" i="16"/>
  <c r="M28" i="16"/>
  <c r="K28" i="16"/>
  <c r="L28" i="16"/>
  <c r="O27" i="16"/>
  <c r="N27" i="16"/>
  <c r="M27" i="16"/>
  <c r="K27" i="16"/>
  <c r="L27" i="16"/>
  <c r="O26" i="16"/>
  <c r="N26" i="16"/>
  <c r="M26" i="16"/>
  <c r="K26" i="16"/>
  <c r="L26" i="16"/>
  <c r="O25" i="16"/>
  <c r="N25" i="16"/>
  <c r="M25" i="16"/>
  <c r="K25" i="16"/>
  <c r="L25" i="16"/>
  <c r="O24" i="16"/>
  <c r="N24" i="16"/>
  <c r="M24" i="16"/>
  <c r="K24" i="16"/>
  <c r="L24" i="16"/>
  <c r="O23" i="16"/>
  <c r="N23" i="16"/>
  <c r="M23" i="16"/>
  <c r="K23" i="16"/>
  <c r="L23" i="16"/>
  <c r="O22" i="16"/>
  <c r="N22" i="16"/>
  <c r="M22" i="16"/>
  <c r="K22" i="16"/>
  <c r="L22" i="16"/>
  <c r="O21" i="16"/>
  <c r="N21" i="16"/>
  <c r="M21" i="16"/>
  <c r="K21" i="16"/>
  <c r="L21" i="16"/>
  <c r="O20" i="16"/>
  <c r="N20" i="16"/>
  <c r="P20" i="16"/>
  <c r="M20" i="16"/>
  <c r="K20" i="16"/>
  <c r="L20" i="16"/>
  <c r="O19" i="16"/>
  <c r="P19" i="16"/>
  <c r="N19" i="16"/>
  <c r="M19" i="16"/>
  <c r="K19" i="16"/>
  <c r="L19" i="16"/>
  <c r="O18" i="16"/>
  <c r="N18" i="16"/>
  <c r="M18" i="16"/>
  <c r="K18" i="16"/>
  <c r="L18" i="16"/>
  <c r="O17" i="16"/>
  <c r="N17" i="16"/>
  <c r="M17" i="16"/>
  <c r="P17" i="16"/>
  <c r="K17" i="16"/>
  <c r="L17" i="16"/>
  <c r="O16" i="16"/>
  <c r="N16" i="16"/>
  <c r="M16" i="16"/>
  <c r="K16" i="16"/>
  <c r="L16" i="16"/>
  <c r="O15" i="16"/>
  <c r="N15" i="16"/>
  <c r="M15" i="16"/>
  <c r="K15" i="16"/>
  <c r="L15" i="16"/>
  <c r="O14" i="16"/>
  <c r="N14" i="16"/>
  <c r="M14" i="16"/>
  <c r="K14" i="16"/>
  <c r="L14" i="16"/>
  <c r="O59" i="17"/>
  <c r="N59" i="17"/>
  <c r="M59" i="17"/>
  <c r="K59" i="17"/>
  <c r="L59" i="17"/>
  <c r="O58" i="17"/>
  <c r="N58" i="17"/>
  <c r="M58" i="17"/>
  <c r="K58" i="17"/>
  <c r="L58" i="17"/>
  <c r="O57" i="17"/>
  <c r="P57" i="17"/>
  <c r="N57" i="17"/>
  <c r="M57" i="17"/>
  <c r="K57" i="17"/>
  <c r="L57" i="17"/>
  <c r="O56" i="17"/>
  <c r="N56" i="17"/>
  <c r="M56" i="17"/>
  <c r="K56" i="17"/>
  <c r="L56" i="17"/>
  <c r="O55" i="17"/>
  <c r="N55" i="17"/>
  <c r="M55" i="17"/>
  <c r="P55" i="17"/>
  <c r="K55" i="17"/>
  <c r="L55" i="17"/>
  <c r="O54" i="17"/>
  <c r="N54" i="17"/>
  <c r="M54" i="17"/>
  <c r="K54" i="17"/>
  <c r="L54" i="17"/>
  <c r="O53" i="17"/>
  <c r="P53" i="17"/>
  <c r="N53" i="17"/>
  <c r="M53" i="17"/>
  <c r="K53" i="17"/>
  <c r="L53" i="17"/>
  <c r="O52" i="17"/>
  <c r="N52" i="17"/>
  <c r="M52" i="17"/>
  <c r="K52" i="17"/>
  <c r="L52" i="17"/>
  <c r="O51" i="17"/>
  <c r="N51" i="17"/>
  <c r="M51" i="17"/>
  <c r="K51" i="17"/>
  <c r="L51" i="17"/>
  <c r="O50" i="17"/>
  <c r="N50" i="17"/>
  <c r="M50" i="17"/>
  <c r="K50" i="17"/>
  <c r="L50" i="17"/>
  <c r="O49" i="17"/>
  <c r="N49" i="17"/>
  <c r="M49" i="17"/>
  <c r="P49" i="17"/>
  <c r="K49" i="17"/>
  <c r="L49" i="17"/>
  <c r="O48" i="17"/>
  <c r="N48" i="17"/>
  <c r="M48" i="17"/>
  <c r="K48" i="17"/>
  <c r="L48" i="17"/>
  <c r="O47" i="17"/>
  <c r="N47" i="17"/>
  <c r="M47" i="17"/>
  <c r="K47" i="17"/>
  <c r="L47" i="17"/>
  <c r="O46" i="17"/>
  <c r="N46" i="17"/>
  <c r="M46" i="17"/>
  <c r="K46" i="17"/>
  <c r="L46" i="17"/>
  <c r="O45" i="17"/>
  <c r="N45" i="17"/>
  <c r="M45" i="17"/>
  <c r="P45" i="17"/>
  <c r="K45" i="17"/>
  <c r="L45" i="17"/>
  <c r="O44" i="17"/>
  <c r="N44" i="17"/>
  <c r="P44" i="17"/>
  <c r="M44" i="17"/>
  <c r="K44" i="17"/>
  <c r="L44" i="17"/>
  <c r="O43" i="17"/>
  <c r="N43" i="17"/>
  <c r="M43" i="17"/>
  <c r="P43" i="17"/>
  <c r="K43" i="17"/>
  <c r="L43" i="17"/>
  <c r="O42" i="17"/>
  <c r="N42" i="17"/>
  <c r="M42" i="17"/>
  <c r="K42" i="17"/>
  <c r="L42" i="17"/>
  <c r="O41" i="17"/>
  <c r="N41" i="17"/>
  <c r="M41" i="17"/>
  <c r="K41" i="17"/>
  <c r="L41" i="17"/>
  <c r="O40" i="17"/>
  <c r="N40" i="17"/>
  <c r="M40" i="17"/>
  <c r="K40" i="17"/>
  <c r="L40" i="17"/>
  <c r="O39" i="17"/>
  <c r="N39" i="17"/>
  <c r="M39" i="17"/>
  <c r="K39" i="17"/>
  <c r="L39" i="17"/>
  <c r="O38" i="17"/>
  <c r="N38" i="17"/>
  <c r="M38" i="17"/>
  <c r="K38" i="17"/>
  <c r="L38" i="17"/>
  <c r="O37" i="17"/>
  <c r="N37" i="17"/>
  <c r="M37" i="17"/>
  <c r="K37" i="17"/>
  <c r="L37" i="17"/>
  <c r="O36" i="17"/>
  <c r="N36" i="17"/>
  <c r="M36" i="17"/>
  <c r="K36" i="17"/>
  <c r="L36" i="17"/>
  <c r="O35" i="17"/>
  <c r="N35" i="17"/>
  <c r="M35" i="17"/>
  <c r="K35" i="17"/>
  <c r="L35" i="17"/>
  <c r="O34" i="17"/>
  <c r="N34" i="17"/>
  <c r="M34" i="17"/>
  <c r="K34" i="17"/>
  <c r="L34" i="17"/>
  <c r="O33" i="17"/>
  <c r="N33" i="17"/>
  <c r="M33" i="17"/>
  <c r="K33" i="17"/>
  <c r="L33" i="17"/>
  <c r="O32" i="17"/>
  <c r="N32" i="17"/>
  <c r="M32" i="17"/>
  <c r="K32" i="17"/>
  <c r="L32" i="17"/>
  <c r="O31" i="17"/>
  <c r="N31" i="17"/>
  <c r="M31" i="17"/>
  <c r="K31" i="17"/>
  <c r="L31" i="17"/>
  <c r="O30" i="17"/>
  <c r="N30" i="17"/>
  <c r="M30" i="17"/>
  <c r="K30" i="17"/>
  <c r="L30" i="17"/>
  <c r="O29" i="17"/>
  <c r="P29" i="17"/>
  <c r="N29" i="17"/>
  <c r="M29" i="17"/>
  <c r="K29" i="17"/>
  <c r="L29" i="17"/>
  <c r="O28" i="17"/>
  <c r="N28" i="17"/>
  <c r="M28" i="17"/>
  <c r="K28" i="17"/>
  <c r="L28" i="17"/>
  <c r="O27" i="17"/>
  <c r="N27" i="17"/>
  <c r="M27" i="17"/>
  <c r="P27" i="17"/>
  <c r="K27" i="17"/>
  <c r="L27" i="17"/>
  <c r="O26" i="17"/>
  <c r="N26" i="17"/>
  <c r="M26" i="17"/>
  <c r="K26" i="17"/>
  <c r="L26" i="17"/>
  <c r="O25" i="17"/>
  <c r="P25" i="17"/>
  <c r="N25" i="17"/>
  <c r="M25" i="17"/>
  <c r="K25" i="17"/>
  <c r="L25" i="17"/>
  <c r="O24" i="17"/>
  <c r="N24" i="17"/>
  <c r="M24" i="17"/>
  <c r="K24" i="17"/>
  <c r="L24" i="17"/>
  <c r="O23" i="17"/>
  <c r="N23" i="17"/>
  <c r="M23" i="17"/>
  <c r="K23" i="17"/>
  <c r="L23" i="17"/>
  <c r="O22" i="17"/>
  <c r="N22" i="17"/>
  <c r="M22" i="17"/>
  <c r="K22" i="17"/>
  <c r="L22" i="17"/>
  <c r="O21" i="17"/>
  <c r="P21" i="17"/>
  <c r="N21" i="17"/>
  <c r="M21" i="17"/>
  <c r="K21" i="17"/>
  <c r="L21" i="17"/>
  <c r="O20" i="17"/>
  <c r="N20" i="17"/>
  <c r="M20" i="17"/>
  <c r="K20" i="17"/>
  <c r="L20" i="17"/>
  <c r="O19" i="17"/>
  <c r="N19" i="17"/>
  <c r="M19" i="17"/>
  <c r="P19" i="17"/>
  <c r="K19" i="17"/>
  <c r="L19" i="17"/>
  <c r="O17" i="17"/>
  <c r="N17" i="17"/>
  <c r="M17" i="17"/>
  <c r="K17" i="17"/>
  <c r="L17" i="17"/>
  <c r="O16" i="17"/>
  <c r="N16" i="17"/>
  <c r="M16" i="17"/>
  <c r="P16" i="17"/>
  <c r="K16" i="17"/>
  <c r="L16" i="17"/>
  <c r="O15" i="17"/>
  <c r="N15" i="17"/>
  <c r="M15" i="17"/>
  <c r="K15" i="17"/>
  <c r="L15" i="17"/>
  <c r="O14" i="17"/>
  <c r="N14" i="17"/>
  <c r="P14" i="17"/>
  <c r="M14" i="17"/>
  <c r="K14" i="17"/>
  <c r="L14" i="17"/>
  <c r="M32" i="18"/>
  <c r="P32" i="18"/>
  <c r="N32" i="18"/>
  <c r="O32" i="18"/>
  <c r="L32" i="18"/>
  <c r="K32" i="18"/>
  <c r="O31" i="18"/>
  <c r="N31" i="18"/>
  <c r="M31" i="18"/>
  <c r="P31" i="18"/>
  <c r="K31" i="18"/>
  <c r="L31" i="18"/>
  <c r="O30" i="18"/>
  <c r="N30" i="18"/>
  <c r="M30" i="18"/>
  <c r="K30" i="18"/>
  <c r="L30" i="18"/>
  <c r="O29" i="18"/>
  <c r="N29" i="18"/>
  <c r="M29" i="18"/>
  <c r="K29" i="18"/>
  <c r="L29" i="18"/>
  <c r="M28" i="18"/>
  <c r="P28" i="18"/>
  <c r="N28" i="18"/>
  <c r="O28" i="18"/>
  <c r="K28" i="18"/>
  <c r="L28" i="18"/>
  <c r="O27" i="18"/>
  <c r="N27" i="18"/>
  <c r="M27" i="18"/>
  <c r="K27" i="18"/>
  <c r="L27" i="18"/>
  <c r="M26" i="18"/>
  <c r="N26" i="18"/>
  <c r="O26" i="18"/>
  <c r="L26" i="18"/>
  <c r="K26" i="18"/>
  <c r="M25" i="18"/>
  <c r="N25" i="18"/>
  <c r="O25" i="18"/>
  <c r="L25" i="18"/>
  <c r="K25" i="18"/>
  <c r="O24" i="18"/>
  <c r="N24" i="18"/>
  <c r="M24" i="18"/>
  <c r="K24" i="18"/>
  <c r="L24" i="18"/>
  <c r="O23" i="18"/>
  <c r="N23" i="18"/>
  <c r="M23" i="18"/>
  <c r="K23" i="18"/>
  <c r="L23" i="18"/>
  <c r="O22" i="18"/>
  <c r="M22" i="18"/>
  <c r="N22" i="18"/>
  <c r="L22" i="18"/>
  <c r="K22" i="18"/>
  <c r="O21" i="18"/>
  <c r="N21" i="18"/>
  <c r="M21" i="18"/>
  <c r="K21" i="18"/>
  <c r="L21" i="18"/>
  <c r="O20" i="18"/>
  <c r="N20" i="18"/>
  <c r="M20" i="18"/>
  <c r="K20" i="18"/>
  <c r="L20" i="18"/>
  <c r="O19" i="18"/>
  <c r="N19" i="18"/>
  <c r="M19" i="18"/>
  <c r="K19" i="18"/>
  <c r="L19" i="18"/>
  <c r="O18" i="18"/>
  <c r="N18" i="18"/>
  <c r="M18" i="18"/>
  <c r="P18" i="18"/>
  <c r="K18" i="18"/>
  <c r="L18" i="18"/>
  <c r="M17" i="18"/>
  <c r="N17" i="18"/>
  <c r="O17" i="18"/>
  <c r="L17" i="18"/>
  <c r="K17" i="18"/>
  <c r="O16" i="18"/>
  <c r="N16" i="18"/>
  <c r="M16" i="18"/>
  <c r="K16" i="18"/>
  <c r="L16" i="18"/>
  <c r="O15" i="18"/>
  <c r="N15" i="18"/>
  <c r="M15" i="18"/>
  <c r="K15" i="18"/>
  <c r="L15" i="18"/>
  <c r="O14" i="18"/>
  <c r="N14" i="18"/>
  <c r="M14" i="18"/>
  <c r="K14" i="18"/>
  <c r="L14" i="18"/>
  <c r="K133" i="10"/>
  <c r="K132" i="10"/>
  <c r="K130" i="10"/>
  <c r="K129" i="10"/>
  <c r="K126" i="10"/>
  <c r="K125" i="10"/>
  <c r="K122" i="10"/>
  <c r="K121" i="10"/>
  <c r="K119" i="10"/>
  <c r="K118" i="10"/>
  <c r="K116" i="10"/>
  <c r="K115" i="10"/>
  <c r="K112" i="10"/>
  <c r="K111" i="10"/>
  <c r="K108" i="10"/>
  <c r="K107" i="10"/>
  <c r="K105" i="10"/>
  <c r="K104" i="10"/>
  <c r="K101" i="10"/>
  <c r="K100" i="10"/>
  <c r="K97" i="10"/>
  <c r="K96" i="10"/>
  <c r="K93" i="10"/>
  <c r="K92" i="10"/>
  <c r="K90" i="10"/>
  <c r="K89" i="10"/>
  <c r="K86" i="10"/>
  <c r="K85" i="10"/>
  <c r="K82" i="10"/>
  <c r="K81" i="10"/>
  <c r="K78" i="10"/>
  <c r="K77" i="10"/>
  <c r="K75" i="10"/>
  <c r="K74" i="10"/>
  <c r="K71" i="10"/>
  <c r="K70" i="10"/>
  <c r="K67" i="10"/>
  <c r="K66" i="10"/>
  <c r="K63" i="10"/>
  <c r="K62" i="10"/>
  <c r="K60" i="10"/>
  <c r="K59" i="10"/>
  <c r="K56" i="10"/>
  <c r="K55" i="10"/>
  <c r="K52" i="10"/>
  <c r="K51" i="10"/>
  <c r="K48" i="10"/>
  <c r="K47" i="10"/>
  <c r="K45" i="10"/>
  <c r="K44" i="10"/>
  <c r="K41" i="10"/>
  <c r="K40" i="10"/>
  <c r="K37" i="10"/>
  <c r="K36" i="10"/>
  <c r="K33" i="10"/>
  <c r="K32" i="10"/>
  <c r="K30" i="10"/>
  <c r="K29" i="10"/>
  <c r="K26" i="10"/>
  <c r="K25" i="10"/>
  <c r="K22" i="10"/>
  <c r="K21" i="10"/>
  <c r="K18" i="10"/>
  <c r="K17" i="10"/>
  <c r="K16" i="10"/>
  <c r="K15" i="10"/>
  <c r="K14" i="10"/>
  <c r="P14" i="19"/>
  <c r="P41" i="17"/>
  <c r="P47" i="17"/>
  <c r="P37" i="17"/>
  <c r="P15" i="16"/>
  <c r="P46" i="16"/>
  <c r="P77" i="16"/>
  <c r="P87" i="16"/>
  <c r="P45" i="16"/>
  <c r="P83" i="16"/>
  <c r="P37" i="15"/>
  <c r="P60" i="15"/>
  <c r="P36" i="15"/>
  <c r="P64" i="15"/>
  <c r="P27" i="18"/>
  <c r="P15" i="18"/>
  <c r="P19" i="18"/>
  <c r="P30" i="18"/>
  <c r="A94" i="66"/>
  <c r="A54" i="55"/>
  <c r="A60" i="58"/>
  <c r="A152" i="11"/>
  <c r="A228" i="10"/>
  <c r="B227" i="10"/>
  <c r="A93" i="66"/>
  <c r="A117" i="34"/>
  <c r="A53" i="55"/>
  <c r="M13" i="66"/>
  <c r="M90" i="66"/>
  <c r="F21" i="65"/>
  <c r="F23" i="65"/>
  <c r="N13" i="66"/>
  <c r="N90" i="66"/>
  <c r="G21" i="65"/>
  <c r="G23" i="65"/>
  <c r="O13" i="66"/>
  <c r="O90" i="66"/>
  <c r="H21" i="65"/>
  <c r="H23" i="65"/>
  <c r="M13" i="9"/>
  <c r="M24" i="9"/>
  <c r="F21" i="22"/>
  <c r="N13" i="9"/>
  <c r="O13" i="9"/>
  <c r="A6" i="54"/>
  <c r="A6" i="33"/>
  <c r="A6" i="65"/>
  <c r="M99" i="66"/>
  <c r="C99" i="66"/>
  <c r="M98" i="66"/>
  <c r="C98" i="66"/>
  <c r="L97" i="66"/>
  <c r="L13" i="66"/>
  <c r="L90" i="66"/>
  <c r="I21" i="65"/>
  <c r="I23" i="65"/>
  <c r="H14" i="65"/>
  <c r="K13" i="66"/>
  <c r="C13" i="66"/>
  <c r="A2" i="66"/>
  <c r="L9" i="66"/>
  <c r="A7" i="66"/>
  <c r="D6" i="66"/>
  <c r="C6" i="66"/>
  <c r="D5" i="66"/>
  <c r="D4" i="66"/>
  <c r="D3" i="66"/>
  <c r="H1" i="66"/>
  <c r="C38" i="65"/>
  <c r="C37" i="65"/>
  <c r="B36" i="65"/>
  <c r="C32" i="65"/>
  <c r="C31" i="65"/>
  <c r="G15" i="65"/>
  <c r="C11" i="65"/>
  <c r="A11" i="65"/>
  <c r="C10" i="65"/>
  <c r="C9" i="65"/>
  <c r="C8" i="65"/>
  <c r="K13" i="60"/>
  <c r="C13" i="60"/>
  <c r="A2" i="60"/>
  <c r="L9" i="60"/>
  <c r="A7" i="60"/>
  <c r="D6" i="60"/>
  <c r="C6" i="60"/>
  <c r="D5" i="60"/>
  <c r="D4" i="60"/>
  <c r="D3" i="60"/>
  <c r="H1" i="60"/>
  <c r="K13" i="59"/>
  <c r="C13" i="59"/>
  <c r="A2" i="59"/>
  <c r="L9" i="59"/>
  <c r="A7" i="59"/>
  <c r="D6" i="59"/>
  <c r="C6" i="59"/>
  <c r="D5" i="59"/>
  <c r="D4" i="59"/>
  <c r="D3" i="59"/>
  <c r="H1" i="59"/>
  <c r="L13" i="58"/>
  <c r="C13" i="58"/>
  <c r="A2" i="58" s="1"/>
  <c r="M9" i="58"/>
  <c r="A7" i="58"/>
  <c r="E6" i="58"/>
  <c r="C6" i="58"/>
  <c r="E5" i="58"/>
  <c r="E4" i="58"/>
  <c r="E3" i="58"/>
  <c r="I1" i="58"/>
  <c r="O52" i="56"/>
  <c r="O55" i="57"/>
  <c r="N52" i="56"/>
  <c r="N55" i="57"/>
  <c r="K55" i="57"/>
  <c r="J55" i="57"/>
  <c r="G55" i="57"/>
  <c r="F55" i="57"/>
  <c r="B52" i="56"/>
  <c r="B55" i="57"/>
  <c r="A55" i="57"/>
  <c r="L13" i="57"/>
  <c r="C13" i="57"/>
  <c r="A2" i="57"/>
  <c r="M9" i="57"/>
  <c r="A7" i="57"/>
  <c r="E6" i="57"/>
  <c r="C6" i="57"/>
  <c r="E5" i="57"/>
  <c r="E4" i="57"/>
  <c r="E3" i="57"/>
  <c r="I1" i="57"/>
  <c r="Q55" i="57"/>
  <c r="P55" i="57"/>
  <c r="L55" i="57"/>
  <c r="I55" i="57"/>
  <c r="H55" i="57"/>
  <c r="E55" i="57"/>
  <c r="C52" i="56"/>
  <c r="C55" i="57"/>
  <c r="N58" i="55"/>
  <c r="N50" i="56"/>
  <c r="B49" i="56"/>
  <c r="L13" i="56"/>
  <c r="C13" i="56"/>
  <c r="A2" i="56"/>
  <c r="M9" i="56"/>
  <c r="A7" i="56"/>
  <c r="E6" i="56"/>
  <c r="C6" i="56"/>
  <c r="E5" i="56"/>
  <c r="E4" i="56"/>
  <c r="E3" i="56"/>
  <c r="I1" i="56"/>
  <c r="N59" i="55"/>
  <c r="N51" i="56"/>
  <c r="C59" i="55"/>
  <c r="C51" i="56"/>
  <c r="C58" i="55"/>
  <c r="C50" i="56"/>
  <c r="M57" i="55"/>
  <c r="M49" i="56"/>
  <c r="L13" i="55"/>
  <c r="A2" i="55"/>
  <c r="M9" i="55"/>
  <c r="A7" i="55"/>
  <c r="E6" i="55"/>
  <c r="C6" i="55"/>
  <c r="E5" i="55"/>
  <c r="E4" i="55"/>
  <c r="E3" i="55"/>
  <c r="I1" i="55"/>
  <c r="C43" i="54"/>
  <c r="C42" i="54"/>
  <c r="B41" i="54"/>
  <c r="C37" i="54"/>
  <c r="C36" i="54"/>
  <c r="G15" i="54"/>
  <c r="C11" i="54"/>
  <c r="A11" i="54"/>
  <c r="C10" i="54"/>
  <c r="C9" i="54"/>
  <c r="C8" i="54"/>
  <c r="L13" i="44"/>
  <c r="M9" i="44"/>
  <c r="A7" i="44"/>
  <c r="E6" i="44"/>
  <c r="C6" i="44"/>
  <c r="E5" i="44"/>
  <c r="E4" i="44"/>
  <c r="E3" i="44"/>
  <c r="A2" i="44"/>
  <c r="I1" i="44"/>
  <c r="L13" i="43"/>
  <c r="C13" i="43"/>
  <c r="A2" i="43"/>
  <c r="M9" i="43"/>
  <c r="A7" i="43"/>
  <c r="E6" i="43"/>
  <c r="C6" i="43"/>
  <c r="E5" i="43"/>
  <c r="E4" i="43"/>
  <c r="E3" i="43"/>
  <c r="I1" i="43"/>
  <c r="L13" i="42"/>
  <c r="C13" i="42"/>
  <c r="A2" i="42"/>
  <c r="M9" i="42"/>
  <c r="A7" i="42"/>
  <c r="E6" i="42"/>
  <c r="C6" i="42"/>
  <c r="E5" i="42"/>
  <c r="E4" i="42"/>
  <c r="E3" i="42"/>
  <c r="L13" i="41"/>
  <c r="A2" i="41"/>
  <c r="M9" i="41"/>
  <c r="A7" i="41"/>
  <c r="E6" i="41"/>
  <c r="C6" i="41"/>
  <c r="E5" i="41"/>
  <c r="E4" i="41"/>
  <c r="E3" i="41"/>
  <c r="I1" i="41"/>
  <c r="L13" i="40"/>
  <c r="C13" i="40"/>
  <c r="A2" i="40" s="1"/>
  <c r="M9" i="40"/>
  <c r="A7" i="40"/>
  <c r="E6" i="40"/>
  <c r="C6" i="40"/>
  <c r="E5" i="40"/>
  <c r="E4" i="40"/>
  <c r="E3" i="40"/>
  <c r="I1" i="40"/>
  <c r="L13" i="39"/>
  <c r="C13" i="39"/>
  <c r="M9" i="39"/>
  <c r="A7" i="39"/>
  <c r="E6" i="39"/>
  <c r="C6" i="39"/>
  <c r="E5" i="39"/>
  <c r="E4" i="39"/>
  <c r="E3" i="39"/>
  <c r="A2" i="39"/>
  <c r="I1" i="39"/>
  <c r="L13" i="38"/>
  <c r="C13" i="38"/>
  <c r="M9" i="38"/>
  <c r="A7" i="38"/>
  <c r="E6" i="38"/>
  <c r="C6" i="38"/>
  <c r="E5" i="38"/>
  <c r="E4" i="38"/>
  <c r="E3" i="38"/>
  <c r="A2" i="38"/>
  <c r="I1" i="38"/>
  <c r="L13" i="37"/>
  <c r="C13" i="37"/>
  <c r="A2" i="37"/>
  <c r="M9" i="37"/>
  <c r="A7" i="37"/>
  <c r="E6" i="37"/>
  <c r="C6" i="37"/>
  <c r="E5" i="37"/>
  <c r="E4" i="37"/>
  <c r="E3" i="37"/>
  <c r="I1" i="37"/>
  <c r="L13" i="36"/>
  <c r="C13" i="36"/>
  <c r="M9" i="36"/>
  <c r="A7" i="36"/>
  <c r="E6" i="36"/>
  <c r="C6" i="36"/>
  <c r="E5" i="36"/>
  <c r="E4" i="36"/>
  <c r="E3" i="36"/>
  <c r="A2" i="36"/>
  <c r="I1" i="36"/>
  <c r="N123" i="34"/>
  <c r="M121" i="34"/>
  <c r="L13" i="35"/>
  <c r="C13" i="35"/>
  <c r="M9" i="35"/>
  <c r="A7" i="35"/>
  <c r="E6" i="35"/>
  <c r="C6" i="35"/>
  <c r="E5" i="35"/>
  <c r="E4" i="35"/>
  <c r="E3" i="35"/>
  <c r="A2" i="35"/>
  <c r="I1" i="35"/>
  <c r="C123" i="34"/>
  <c r="N122" i="34"/>
  <c r="C122" i="34"/>
  <c r="L13" i="34"/>
  <c r="C13" i="34"/>
  <c r="A2" i="34"/>
  <c r="M9" i="34"/>
  <c r="A7" i="34"/>
  <c r="E6" i="34"/>
  <c r="C6" i="34"/>
  <c r="E5" i="34"/>
  <c r="E4" i="34"/>
  <c r="E3" i="34"/>
  <c r="I1" i="34"/>
  <c r="C50" i="33"/>
  <c r="C49" i="33"/>
  <c r="B48" i="33"/>
  <c r="C44" i="33"/>
  <c r="C43" i="33"/>
  <c r="G15" i="33"/>
  <c r="C11" i="33"/>
  <c r="A11" i="33"/>
  <c r="C10" i="33"/>
  <c r="C9" i="33"/>
  <c r="C8" i="33"/>
  <c r="M69" i="60"/>
  <c r="N65" i="58"/>
  <c r="L67" i="60"/>
  <c r="M63" i="58"/>
  <c r="L71" i="59"/>
  <c r="C68" i="60"/>
  <c r="C72" i="59"/>
  <c r="C73" i="59"/>
  <c r="B67" i="60"/>
  <c r="B63" i="58"/>
  <c r="M68" i="60"/>
  <c r="N64" i="58"/>
  <c r="C42" i="22"/>
  <c r="C41" i="22"/>
  <c r="A6" i="22"/>
  <c r="B46" i="22"/>
  <c r="C47" i="22"/>
  <c r="C48" i="22"/>
  <c r="A21" i="19"/>
  <c r="A37" i="18"/>
  <c r="A64" i="17"/>
  <c r="A96" i="16"/>
  <c r="A77" i="15"/>
  <c r="A96" i="14"/>
  <c r="A61" i="13"/>
  <c r="A28" i="12"/>
  <c r="H1" i="19"/>
  <c r="H1" i="18"/>
  <c r="H1" i="16"/>
  <c r="H1" i="15"/>
  <c r="H1" i="14"/>
  <c r="H1" i="13"/>
  <c r="H1" i="10"/>
  <c r="H1" i="11"/>
  <c r="H1" i="12"/>
  <c r="H1" i="9"/>
  <c r="C13" i="13"/>
  <c r="A2" i="13"/>
  <c r="C13" i="12"/>
  <c r="A2" i="12"/>
  <c r="C13" i="11"/>
  <c r="A2" i="11"/>
  <c r="C13" i="10"/>
  <c r="C13" i="9"/>
  <c r="A2" i="9"/>
  <c r="C13" i="19"/>
  <c r="A2" i="19"/>
  <c r="C13" i="18"/>
  <c r="A2" i="18"/>
  <c r="C13" i="17"/>
  <c r="A2" i="17"/>
  <c r="C13" i="16"/>
  <c r="A2" i="16"/>
  <c r="C13" i="15"/>
  <c r="A2" i="15"/>
  <c r="C13" i="14"/>
  <c r="A2" i="14"/>
  <c r="C11" i="22"/>
  <c r="D6" i="10"/>
  <c r="D6" i="11"/>
  <c r="D6" i="12"/>
  <c r="D6" i="13"/>
  <c r="D6" i="14"/>
  <c r="D6" i="15"/>
  <c r="D6" i="16"/>
  <c r="D6" i="17"/>
  <c r="D6" i="18"/>
  <c r="D6" i="19"/>
  <c r="D6" i="9"/>
  <c r="C6" i="10"/>
  <c r="C6" i="11"/>
  <c r="C6" i="12"/>
  <c r="C6" i="13"/>
  <c r="C6" i="14"/>
  <c r="C6" i="15"/>
  <c r="C6" i="16"/>
  <c r="C6" i="17"/>
  <c r="C6" i="18"/>
  <c r="C6" i="19"/>
  <c r="C6" i="9"/>
  <c r="A11" i="22"/>
  <c r="O13" i="19"/>
  <c r="N13" i="19"/>
  <c r="M13" i="19"/>
  <c r="P13" i="19"/>
  <c r="K13" i="19"/>
  <c r="L13" i="19"/>
  <c r="O13" i="18"/>
  <c r="N13" i="18"/>
  <c r="M13" i="18"/>
  <c r="K13" i="18"/>
  <c r="L13" i="18"/>
  <c r="O13" i="17"/>
  <c r="N13" i="17"/>
  <c r="M13" i="17"/>
  <c r="K13" i="17"/>
  <c r="L13" i="17"/>
  <c r="O13" i="16"/>
  <c r="P13" i="16"/>
  <c r="N13" i="16"/>
  <c r="M13" i="16"/>
  <c r="K13" i="16"/>
  <c r="L13" i="16"/>
  <c r="K13" i="14"/>
  <c r="L13" i="14"/>
  <c r="L13" i="13"/>
  <c r="K13" i="13"/>
  <c r="O13" i="12"/>
  <c r="N13" i="12"/>
  <c r="M13" i="12"/>
  <c r="K13" i="12"/>
  <c r="L13" i="12"/>
  <c r="O13" i="11"/>
  <c r="N13" i="11"/>
  <c r="M13" i="11"/>
  <c r="K13" i="11"/>
  <c r="K13" i="10"/>
  <c r="L13" i="9"/>
  <c r="K13" i="9"/>
  <c r="P13" i="17"/>
  <c r="A2" i="10"/>
  <c r="O13" i="15"/>
  <c r="N13" i="15"/>
  <c r="L13" i="15"/>
  <c r="H13" i="15"/>
  <c r="M13" i="15"/>
  <c r="A7" i="10"/>
  <c r="L9" i="11"/>
  <c r="C8" i="22"/>
  <c r="C9" i="22"/>
  <c r="D4" i="9"/>
  <c r="D4" i="18"/>
  <c r="D4" i="16"/>
  <c r="D4" i="14"/>
  <c r="D4" i="12"/>
  <c r="D4" i="10"/>
  <c r="A7" i="19"/>
  <c r="A7" i="17"/>
  <c r="A7" i="15"/>
  <c r="A7" i="13"/>
  <c r="A7" i="11"/>
  <c r="D3" i="9"/>
  <c r="D3" i="18"/>
  <c r="D3" i="16"/>
  <c r="D3" i="14"/>
  <c r="D3" i="12"/>
  <c r="D3" i="10"/>
  <c r="D5" i="10"/>
  <c r="C10" i="22"/>
  <c r="D4" i="19"/>
  <c r="D4" i="17"/>
  <c r="D4" i="15"/>
  <c r="D4" i="13"/>
  <c r="D4" i="11"/>
  <c r="A7" i="9"/>
  <c r="A7" i="18"/>
  <c r="A7" i="16"/>
  <c r="A7" i="14"/>
  <c r="A7" i="12"/>
  <c r="D3" i="19"/>
  <c r="D3" i="17"/>
  <c r="D3" i="15"/>
  <c r="D3" i="13"/>
  <c r="D3" i="11"/>
  <c r="L9" i="9"/>
  <c r="L9" i="18"/>
  <c r="L9" i="16"/>
  <c r="L9" i="14"/>
  <c r="L9" i="12"/>
  <c r="L9" i="10"/>
  <c r="G15" i="22"/>
  <c r="L9" i="19"/>
  <c r="L9" i="17"/>
  <c r="L9" i="15"/>
  <c r="L9" i="13"/>
  <c r="D5" i="19"/>
  <c r="D5" i="17"/>
  <c r="D5" i="15"/>
  <c r="D5" i="13"/>
  <c r="D5" i="11"/>
  <c r="D5" i="9"/>
  <c r="D5" i="18"/>
  <c r="D5" i="16"/>
  <c r="D5" i="14"/>
  <c r="D5" i="12"/>
  <c r="G73" i="15"/>
  <c r="F73" i="15"/>
  <c r="M72" i="59"/>
  <c r="B71" i="59"/>
  <c r="C64" i="58"/>
  <c r="M73" i="59"/>
  <c r="M58" i="13"/>
  <c r="F25" i="22"/>
  <c r="P13" i="11"/>
  <c r="P91" i="11"/>
  <c r="P93" i="11"/>
  <c r="P95" i="11"/>
  <c r="P98" i="11"/>
  <c r="P100" i="11"/>
  <c r="P103" i="11"/>
  <c r="P22" i="11"/>
  <c r="P131" i="11"/>
  <c r="P28" i="11"/>
  <c r="P23" i="15"/>
  <c r="P31" i="15"/>
  <c r="P47" i="15"/>
  <c r="P51" i="15"/>
  <c r="P54" i="15"/>
  <c r="P55" i="15"/>
  <c r="P63" i="15"/>
  <c r="P67" i="15"/>
  <c r="P22" i="15"/>
  <c r="P35" i="15"/>
  <c r="P39" i="17"/>
  <c r="P33" i="17"/>
  <c r="P68" i="15"/>
  <c r="Q18" i="57"/>
  <c r="L64" i="59"/>
  <c r="I25" i="54"/>
  <c r="P42" i="56"/>
  <c r="H22" i="54"/>
  <c r="Q13" i="56"/>
  <c r="O42" i="56"/>
  <c r="G22" i="54"/>
  <c r="C69" i="60"/>
  <c r="P13" i="9"/>
  <c r="N24" i="9"/>
  <c r="G21" i="22"/>
  <c r="P21" i="18"/>
  <c r="P29" i="18"/>
  <c r="P17" i="17"/>
  <c r="P22" i="17"/>
  <c r="P26" i="17"/>
  <c r="P42" i="17"/>
  <c r="P50" i="17"/>
  <c r="P16" i="16"/>
  <c r="P26" i="16"/>
  <c r="P28" i="16"/>
  <c r="P36" i="16"/>
  <c r="P38" i="16"/>
  <c r="P47" i="16"/>
  <c r="P70" i="16"/>
  <c r="P27" i="15"/>
  <c r="P30" i="15"/>
  <c r="P43" i="15"/>
  <c r="P66" i="15"/>
  <c r="N25" i="12"/>
  <c r="G24" i="22"/>
  <c r="P14" i="11"/>
  <c r="P20" i="11"/>
  <c r="P106" i="11"/>
  <c r="P110" i="11"/>
  <c r="P125" i="11"/>
  <c r="N60" i="60"/>
  <c r="G26" i="54"/>
  <c r="O79" i="38"/>
  <c r="G25" i="33"/>
  <c r="L32" i="57"/>
  <c r="N32" i="57"/>
  <c r="Q32" i="57"/>
  <c r="P13" i="18"/>
  <c r="A46" i="56"/>
  <c r="P17" i="18"/>
  <c r="P22" i="18"/>
  <c r="P23" i="18"/>
  <c r="P31" i="17"/>
  <c r="P32" i="17"/>
  <c r="P40" i="17"/>
  <c r="P48" i="17"/>
  <c r="P34" i="16"/>
  <c r="P42" i="16"/>
  <c r="P50" i="16"/>
  <c r="P52" i="16"/>
  <c r="P60" i="16"/>
  <c r="P69" i="16"/>
  <c r="P75" i="16"/>
  <c r="P45" i="15"/>
  <c r="P49" i="15"/>
  <c r="P56" i="15"/>
  <c r="P61" i="15"/>
  <c r="P65" i="15"/>
  <c r="P89" i="11"/>
  <c r="P113" i="11"/>
  <c r="P115" i="11"/>
  <c r="P116" i="11"/>
  <c r="P120" i="11"/>
  <c r="P122" i="11"/>
  <c r="P124" i="11"/>
  <c r="P129" i="11"/>
  <c r="P133" i="11"/>
  <c r="P134" i="11"/>
  <c r="P136" i="11"/>
  <c r="P138" i="11"/>
  <c r="P140" i="11"/>
  <c r="P142" i="11"/>
  <c r="P144" i="11"/>
  <c r="P145" i="11"/>
  <c r="P146" i="11"/>
  <c r="O50" i="55"/>
  <c r="G21" i="54"/>
  <c r="P13" i="59"/>
  <c r="O48" i="44"/>
  <c r="G32" i="33" s="1"/>
  <c r="O40" i="42"/>
  <c r="G30" i="33"/>
  <c r="P13" i="15"/>
  <c r="P13" i="12"/>
  <c r="O24" i="9"/>
  <c r="H21" i="22"/>
  <c r="P16" i="18"/>
  <c r="P20" i="18"/>
  <c r="P26" i="18"/>
  <c r="P31" i="16"/>
  <c r="P62" i="16"/>
  <c r="P66" i="16"/>
  <c r="P86" i="16"/>
  <c r="P88" i="16"/>
  <c r="P26" i="15"/>
  <c r="P34" i="15"/>
  <c r="P18" i="12"/>
  <c r="P22" i="12"/>
  <c r="P16" i="9"/>
  <c r="P14" i="9"/>
  <c r="P13" i="60"/>
  <c r="P40" i="42"/>
  <c r="H30" i="33"/>
  <c r="P22" i="43"/>
  <c r="H31" i="33"/>
  <c r="Q13" i="57"/>
  <c r="Q19" i="57"/>
  <c r="Q27" i="57"/>
  <c r="Q41" i="57"/>
  <c r="Q13" i="58"/>
  <c r="L36" i="57"/>
  <c r="N36" i="57"/>
  <c r="A68" i="59"/>
  <c r="A64" i="60"/>
  <c r="Q13" i="34"/>
  <c r="M18" i="19"/>
  <c r="F31" i="22"/>
  <c r="P18" i="19"/>
  <c r="E31" i="22"/>
  <c r="N18" i="19"/>
  <c r="G31" i="22"/>
  <c r="L18" i="19"/>
  <c r="I31" i="22"/>
  <c r="O18" i="19"/>
  <c r="H31" i="22"/>
  <c r="P7" i="19"/>
  <c r="N34" i="18"/>
  <c r="G30" i="22"/>
  <c r="L34" i="18"/>
  <c r="I30" i="22"/>
  <c r="O34" i="18"/>
  <c r="H30" i="22"/>
  <c r="P24" i="18"/>
  <c r="P25" i="18"/>
  <c r="M34" i="18"/>
  <c r="F30" i="22"/>
  <c r="P14" i="18"/>
  <c r="L61" i="17"/>
  <c r="I29" i="22"/>
  <c r="O61" i="17"/>
  <c r="H29" i="22"/>
  <c r="P24" i="17"/>
  <c r="P36" i="17"/>
  <c r="P38" i="17"/>
  <c r="P52" i="17"/>
  <c r="P56" i="17"/>
  <c r="P20" i="17"/>
  <c r="P28" i="17"/>
  <c r="P35" i="17"/>
  <c r="P46" i="17"/>
  <c r="M61" i="17"/>
  <c r="F29" i="22"/>
  <c r="P34" i="17"/>
  <c r="P58" i="17"/>
  <c r="N61" i="17"/>
  <c r="G29" i="22"/>
  <c r="P15" i="17"/>
  <c r="P23" i="17"/>
  <c r="P30" i="17"/>
  <c r="P51" i="17"/>
  <c r="P54" i="17"/>
  <c r="P59" i="17"/>
  <c r="P23" i="16"/>
  <c r="P24" i="16"/>
  <c r="P25" i="16"/>
  <c r="P61" i="16"/>
  <c r="P71" i="16"/>
  <c r="P73" i="16"/>
  <c r="P80" i="16"/>
  <c r="P82" i="16"/>
  <c r="P18" i="16"/>
  <c r="P21" i="16"/>
  <c r="P22" i="16"/>
  <c r="P39" i="16"/>
  <c r="P41" i="16"/>
  <c r="P54" i="16"/>
  <c r="P65" i="16"/>
  <c r="P67" i="16"/>
  <c r="P74" i="16"/>
  <c r="P76" i="16"/>
  <c r="N93" i="16"/>
  <c r="G28" i="22"/>
  <c r="P48" i="16"/>
  <c r="P55" i="16"/>
  <c r="P63" i="16"/>
  <c r="P84" i="16"/>
  <c r="L93" i="16"/>
  <c r="I28" i="22"/>
  <c r="O93" i="16"/>
  <c r="H28" i="22"/>
  <c r="P27" i="16"/>
  <c r="P30" i="16"/>
  <c r="P32" i="16"/>
  <c r="P33" i="16"/>
  <c r="P35" i="16"/>
  <c r="P44" i="16"/>
  <c r="P49" i="16"/>
  <c r="P53" i="16"/>
  <c r="P78" i="16"/>
  <c r="P81" i="16"/>
  <c r="M93" i="16"/>
  <c r="F28" i="22"/>
  <c r="P14" i="16"/>
  <c r="P38" i="15"/>
  <c r="P40" i="15"/>
  <c r="P71" i="15"/>
  <c r="K13" i="15"/>
  <c r="M74" i="15"/>
  <c r="F27" i="22"/>
  <c r="P29" i="15"/>
  <c r="P33" i="15"/>
  <c r="P58" i="15"/>
  <c r="P70" i="15"/>
  <c r="P14" i="15"/>
  <c r="P59" i="15"/>
  <c r="P62" i="15"/>
  <c r="L74" i="15"/>
  <c r="I27" i="22"/>
  <c r="O74" i="15"/>
  <c r="H27" i="22"/>
  <c r="P39" i="15"/>
  <c r="P42" i="15"/>
  <c r="P46" i="15"/>
  <c r="P50" i="15"/>
  <c r="N74" i="15"/>
  <c r="G27" i="22"/>
  <c r="M93" i="14"/>
  <c r="F26" i="22"/>
  <c r="L93" i="14"/>
  <c r="I26" i="22"/>
  <c r="N93" i="14"/>
  <c r="G26" i="22"/>
  <c r="O93" i="14"/>
  <c r="H26" i="22"/>
  <c r="N58" i="13"/>
  <c r="G25" i="22"/>
  <c r="I25" i="22"/>
  <c r="O58" i="13"/>
  <c r="H25" i="22"/>
  <c r="L25" i="12"/>
  <c r="I24" i="22"/>
  <c r="O25" i="12"/>
  <c r="H24" i="22"/>
  <c r="P20" i="12"/>
  <c r="P14" i="12"/>
  <c r="P21" i="12"/>
  <c r="M25" i="12"/>
  <c r="F24" i="22"/>
  <c r="N149" i="11"/>
  <c r="G23" i="22"/>
  <c r="P21" i="11"/>
  <c r="P94" i="11"/>
  <c r="P97" i="11"/>
  <c r="P99" i="11"/>
  <c r="P101" i="11"/>
  <c r="P104" i="11"/>
  <c r="P114" i="11"/>
  <c r="P117" i="11"/>
  <c r="P119" i="11"/>
  <c r="P121" i="11"/>
  <c r="P123" i="11"/>
  <c r="P126" i="11"/>
  <c r="P128" i="11"/>
  <c r="O149" i="11"/>
  <c r="H23" i="22"/>
  <c r="P83" i="11"/>
  <c r="P92" i="11"/>
  <c r="P96" i="11"/>
  <c r="P105" i="11"/>
  <c r="P108" i="11"/>
  <c r="P112" i="11"/>
  <c r="P118" i="11"/>
  <c r="P127" i="11"/>
  <c r="P130" i="11"/>
  <c r="P132" i="11"/>
  <c r="P29" i="11"/>
  <c r="P37" i="11"/>
  <c r="P90" i="11"/>
  <c r="P109" i="11"/>
  <c r="P111" i="11"/>
  <c r="P135" i="11"/>
  <c r="P137" i="11"/>
  <c r="P139" i="11"/>
  <c r="P141" i="11"/>
  <c r="P143" i="11"/>
  <c r="O225" i="10"/>
  <c r="H22" i="22"/>
  <c r="N225" i="10"/>
  <c r="G22" i="22"/>
  <c r="A67" i="59"/>
  <c r="A59" i="58"/>
  <c r="A63" i="60"/>
  <c r="A45" i="56"/>
  <c r="L24" i="9"/>
  <c r="I21" i="22"/>
  <c r="P15" i="9"/>
  <c r="P17" i="9"/>
  <c r="P13" i="66"/>
  <c r="P7" i="66"/>
  <c r="H33" i="22"/>
  <c r="P50" i="41"/>
  <c r="H28" i="33"/>
  <c r="M60" i="60"/>
  <c r="F26" i="54" s="1"/>
  <c r="N56" i="58"/>
  <c r="F24" i="54" s="1"/>
  <c r="P7" i="9"/>
  <c r="G33" i="22"/>
  <c r="N50" i="55"/>
  <c r="F21" i="54"/>
  <c r="P61" i="17"/>
  <c r="E29" i="22"/>
  <c r="P34" i="18"/>
  <c r="N40" i="42"/>
  <c r="F30" i="33"/>
  <c r="E30" i="22"/>
  <c r="P7" i="18"/>
  <c r="P7" i="12"/>
  <c r="P7" i="16"/>
  <c r="P7" i="17"/>
  <c r="P7" i="14"/>
  <c r="P7" i="15"/>
  <c r="P7" i="13"/>
  <c r="H13" i="65"/>
  <c r="L131" i="10"/>
  <c r="L99" i="10"/>
  <c r="L83" i="10"/>
  <c r="L35" i="10"/>
  <c r="L114" i="10"/>
  <c r="L98" i="10"/>
  <c r="L50" i="10"/>
  <c r="L34" i="10"/>
  <c r="L73" i="10"/>
  <c r="L57" i="10"/>
  <c r="L124" i="10"/>
  <c r="L80" i="10"/>
  <c r="L64" i="10"/>
  <c r="L123" i="10"/>
  <c r="L39" i="10"/>
  <c r="L79" i="10"/>
  <c r="L127" i="10"/>
  <c r="L76" i="10"/>
  <c r="K131" i="10"/>
  <c r="K83" i="10"/>
  <c r="L95" i="10"/>
  <c r="L31" i="10"/>
  <c r="L110" i="10"/>
  <c r="K110" i="10"/>
  <c r="L94" i="10"/>
  <c r="K94" i="10"/>
  <c r="L46" i="10"/>
  <c r="L117" i="10"/>
  <c r="L69" i="10"/>
  <c r="L53" i="10"/>
  <c r="L120" i="10"/>
  <c r="L28" i="10"/>
  <c r="K28" i="10"/>
  <c r="K123" i="10"/>
  <c r="K120" i="10"/>
  <c r="K31" i="10"/>
  <c r="K127" i="10"/>
  <c r="L72" i="10"/>
  <c r="K80" i="10"/>
  <c r="L91" i="10"/>
  <c r="K91" i="10"/>
  <c r="L43" i="10"/>
  <c r="K43" i="10"/>
  <c r="L27" i="10"/>
  <c r="K27" i="10"/>
  <c r="L106" i="10"/>
  <c r="L58" i="10"/>
  <c r="K58" i="10"/>
  <c r="L42" i="10"/>
  <c r="L113" i="10"/>
  <c r="K113" i="10"/>
  <c r="L65" i="10"/>
  <c r="K65" i="10"/>
  <c r="L49" i="10"/>
  <c r="K49" i="10"/>
  <c r="L88" i="10"/>
  <c r="K88" i="10"/>
  <c r="L24" i="10"/>
  <c r="K24" i="10"/>
  <c r="K99" i="10"/>
  <c r="K128" i="10"/>
  <c r="L128" i="10"/>
  <c r="K109" i="10"/>
  <c r="L109" i="10"/>
  <c r="K20" i="10"/>
  <c r="L20" i="10"/>
  <c r="K68" i="10"/>
  <c r="L68" i="10"/>
  <c r="K103" i="10"/>
  <c r="L103" i="10"/>
  <c r="K23" i="10"/>
  <c r="L23" i="10"/>
  <c r="L87" i="10"/>
  <c r="K61" i="10"/>
  <c r="L61" i="10"/>
  <c r="L54" i="10"/>
  <c r="K102" i="10"/>
  <c r="L102" i="10"/>
  <c r="L38" i="10"/>
  <c r="K84" i="10"/>
  <c r="L84" i="10"/>
  <c r="K69" i="10"/>
  <c r="K124" i="10"/>
  <c r="L19" i="10"/>
  <c r="L225" i="10"/>
  <c r="I22" i="22"/>
  <c r="K19" i="10"/>
  <c r="K73" i="10"/>
  <c r="K34" i="10"/>
  <c r="K38" i="10"/>
  <c r="K54" i="10"/>
  <c r="K117" i="10"/>
  <c r="K87" i="10"/>
  <c r="K50" i="10"/>
  <c r="K76" i="10"/>
  <c r="K79" i="10"/>
  <c r="K42" i="10"/>
  <c r="K106" i="10"/>
  <c r="K64" i="10"/>
  <c r="K46" i="10"/>
  <c r="K53" i="10"/>
  <c r="K114" i="10"/>
  <c r="K95" i="10"/>
  <c r="K57" i="10"/>
  <c r="K72" i="10"/>
  <c r="K35" i="10"/>
  <c r="K39" i="10"/>
  <c r="K98" i="10"/>
  <c r="M225" i="10"/>
  <c r="F22" i="22"/>
  <c r="P7" i="10"/>
  <c r="L86" i="11"/>
  <c r="L62" i="11"/>
  <c r="L81" i="11"/>
  <c r="L65" i="11"/>
  <c r="L48" i="11"/>
  <c r="L80" i="11"/>
  <c r="L51" i="11"/>
  <c r="L68" i="11"/>
  <c r="L87" i="11"/>
  <c r="L67" i="11"/>
  <c r="L50" i="11"/>
  <c r="L23" i="11"/>
  <c r="L39" i="11"/>
  <c r="L77" i="11"/>
  <c r="L56" i="11"/>
  <c r="L24" i="11"/>
  <c r="L52" i="11"/>
  <c r="L69" i="11"/>
  <c r="L76" i="11"/>
  <c r="L41" i="11"/>
  <c r="L59" i="11"/>
  <c r="L79" i="11"/>
  <c r="L49" i="11"/>
  <c r="L55" i="11"/>
  <c r="L84" i="11"/>
  <c r="L57" i="11"/>
  <c r="L54" i="11"/>
  <c r="L71" i="11"/>
  <c r="L43" i="11"/>
  <c r="L74" i="11"/>
  <c r="L38" i="11"/>
  <c r="L73" i="11"/>
  <c r="L27" i="11"/>
  <c r="L42" i="11"/>
  <c r="L60" i="11"/>
  <c r="L78" i="11"/>
  <c r="L45" i="11"/>
  <c r="L64" i="11"/>
  <c r="L88" i="11"/>
  <c r="L66" i="11"/>
  <c r="L70" i="11"/>
  <c r="L44" i="11"/>
  <c r="L63" i="11"/>
  <c r="L40" i="11"/>
  <c r="L58" i="11"/>
  <c r="L75" i="11"/>
  <c r="L53" i="11"/>
  <c r="L72" i="11"/>
  <c r="L85" i="11"/>
  <c r="H85" i="11"/>
  <c r="K85" i="11"/>
  <c r="H77" i="11"/>
  <c r="M77" i="11"/>
  <c r="P77" i="11"/>
  <c r="H56" i="11"/>
  <c r="K56" i="11"/>
  <c r="M56" i="11"/>
  <c r="P56" i="11"/>
  <c r="H24" i="11"/>
  <c r="K24" i="11"/>
  <c r="H52" i="11"/>
  <c r="K52" i="11"/>
  <c r="H69" i="11"/>
  <c r="M69" i="11"/>
  <c r="P69" i="11"/>
  <c r="H87" i="11"/>
  <c r="K87" i="11"/>
  <c r="M87" i="11"/>
  <c r="P87" i="11"/>
  <c r="H76" i="11"/>
  <c r="K76" i="11"/>
  <c r="M76" i="11"/>
  <c r="P76" i="11"/>
  <c r="H41" i="11"/>
  <c r="K41" i="11"/>
  <c r="H59" i="11"/>
  <c r="H79" i="11"/>
  <c r="K79" i="11"/>
  <c r="H49" i="11"/>
  <c r="K49" i="11"/>
  <c r="M49" i="11"/>
  <c r="P49" i="11"/>
  <c r="H55" i="11"/>
  <c r="K55" i="11"/>
  <c r="H84" i="11"/>
  <c r="K84" i="11"/>
  <c r="H57" i="11"/>
  <c r="K57" i="11"/>
  <c r="M57" i="11"/>
  <c r="P57" i="11"/>
  <c r="H65" i="11"/>
  <c r="K65" i="11"/>
  <c r="M65" i="11"/>
  <c r="P65" i="11"/>
  <c r="H54" i="11"/>
  <c r="K54" i="11"/>
  <c r="H71" i="11"/>
  <c r="K71" i="11"/>
  <c r="H86" i="11"/>
  <c r="K86" i="11"/>
  <c r="M86" i="11"/>
  <c r="P86" i="11"/>
  <c r="H43" i="11"/>
  <c r="K43" i="11"/>
  <c r="H62" i="11"/>
  <c r="K62" i="11"/>
  <c r="H81" i="11"/>
  <c r="K81" i="11"/>
  <c r="H51" i="11"/>
  <c r="K51" i="11"/>
  <c r="M51" i="11"/>
  <c r="P51" i="11"/>
  <c r="H67" i="11"/>
  <c r="K67" i="11"/>
  <c r="M67" i="11"/>
  <c r="P67" i="11"/>
  <c r="H74" i="11"/>
  <c r="K74" i="11"/>
  <c r="H38" i="11"/>
  <c r="K38" i="11"/>
  <c r="H73" i="11"/>
  <c r="K73" i="11"/>
  <c r="H27" i="11"/>
  <c r="K27" i="11"/>
  <c r="M27" i="11"/>
  <c r="P27" i="11"/>
  <c r="H42" i="11"/>
  <c r="K42" i="11"/>
  <c r="H60" i="11"/>
  <c r="K60" i="11"/>
  <c r="H78" i="11"/>
  <c r="K78" i="11"/>
  <c r="H23" i="11"/>
  <c r="K23" i="11"/>
  <c r="M23" i="11"/>
  <c r="P23" i="11"/>
  <c r="H45" i="11"/>
  <c r="K45" i="11"/>
  <c r="H64" i="11"/>
  <c r="K64" i="11"/>
  <c r="H88" i="11"/>
  <c r="K88" i="11"/>
  <c r="M88" i="11"/>
  <c r="P88" i="11"/>
  <c r="H66" i="11"/>
  <c r="K66" i="11"/>
  <c r="H50" i="11"/>
  <c r="K50" i="11"/>
  <c r="H70" i="11"/>
  <c r="K70" i="11"/>
  <c r="H48" i="11"/>
  <c r="K48" i="11"/>
  <c r="M48" i="11"/>
  <c r="P48" i="11"/>
  <c r="H44" i="11"/>
  <c r="K44" i="11"/>
  <c r="H63" i="11"/>
  <c r="K63" i="11"/>
  <c r="H80" i="11"/>
  <c r="K80" i="11"/>
  <c r="H40" i="11"/>
  <c r="K40" i="11"/>
  <c r="H58" i="11"/>
  <c r="K58" i="11"/>
  <c r="M58" i="11"/>
  <c r="P58" i="11"/>
  <c r="H75" i="11"/>
  <c r="K75" i="11"/>
  <c r="H68" i="11"/>
  <c r="K68" i="11"/>
  <c r="H53" i="11"/>
  <c r="K53" i="11"/>
  <c r="H72" i="11"/>
  <c r="K72" i="11"/>
  <c r="M72" i="11"/>
  <c r="P72" i="11"/>
  <c r="H39" i="11"/>
  <c r="K39" i="11"/>
  <c r="L15" i="11"/>
  <c r="L149" i="11"/>
  <c r="I23" i="22"/>
  <c r="I33" i="22"/>
  <c r="H14" i="22"/>
  <c r="H15" i="11"/>
  <c r="M53" i="11"/>
  <c r="P53" i="11"/>
  <c r="M44" i="11"/>
  <c r="P44" i="11"/>
  <c r="M78" i="11"/>
  <c r="P78" i="11"/>
  <c r="M40" i="11"/>
  <c r="P40" i="11"/>
  <c r="M66" i="11"/>
  <c r="P66" i="11"/>
  <c r="M73" i="11"/>
  <c r="P73" i="11"/>
  <c r="M43" i="11"/>
  <c r="P43" i="11"/>
  <c r="M79" i="11"/>
  <c r="P79" i="11"/>
  <c r="M39" i="11"/>
  <c r="P39" i="11"/>
  <c r="M75" i="11"/>
  <c r="P75" i="11"/>
  <c r="M63" i="11"/>
  <c r="P63" i="11"/>
  <c r="M50" i="11"/>
  <c r="P50" i="11"/>
  <c r="M42" i="11"/>
  <c r="P42" i="11"/>
  <c r="M74" i="11"/>
  <c r="P74" i="11"/>
  <c r="M62" i="11"/>
  <c r="P62" i="11"/>
  <c r="M54" i="11"/>
  <c r="P54" i="11"/>
  <c r="M55" i="11"/>
  <c r="P55" i="11"/>
  <c r="M41" i="11"/>
  <c r="P41" i="11"/>
  <c r="M52" i="11"/>
  <c r="P52" i="11"/>
  <c r="M85" i="11"/>
  <c r="P85" i="11"/>
  <c r="K69" i="11"/>
  <c r="K59" i="11"/>
  <c r="K77" i="11"/>
  <c r="K15" i="11"/>
  <c r="M68" i="11"/>
  <c r="P68" i="11"/>
  <c r="M80" i="11"/>
  <c r="P80" i="11"/>
  <c r="M70" i="11"/>
  <c r="P70" i="11"/>
  <c r="M64" i="11"/>
  <c r="P64" i="11"/>
  <c r="M60" i="11"/>
  <c r="P60" i="11"/>
  <c r="M38" i="11"/>
  <c r="P38" i="11"/>
  <c r="M81" i="11"/>
  <c r="P81" i="11"/>
  <c r="M71" i="11"/>
  <c r="P71" i="11"/>
  <c r="M84" i="11"/>
  <c r="P84" i="11"/>
  <c r="M149" i="11"/>
  <c r="F23" i="22"/>
  <c r="F33" i="22"/>
  <c r="P7" i="11"/>
  <c r="E35" i="22"/>
  <c r="H13" i="22"/>
  <c r="M97" i="69"/>
  <c r="I33" i="33"/>
  <c r="K46" i="60"/>
  <c r="O46" i="60"/>
  <c r="P46" i="60"/>
  <c r="K56" i="60"/>
  <c r="O56" i="60"/>
  <c r="P56" i="60"/>
  <c r="K53" i="60"/>
  <c r="O53" i="60"/>
  <c r="P53" i="60"/>
  <c r="K58" i="60"/>
  <c r="O58" i="60"/>
  <c r="P58" i="60"/>
  <c r="K55" i="60"/>
  <c r="O55" i="60"/>
  <c r="P55" i="60"/>
  <c r="K52" i="60"/>
  <c r="O52" i="60"/>
  <c r="P52" i="60"/>
  <c r="K49" i="60"/>
  <c r="O49" i="60"/>
  <c r="P49" i="60"/>
  <c r="P15" i="60"/>
  <c r="K54" i="60"/>
  <c r="O54" i="60"/>
  <c r="P54" i="60"/>
  <c r="K51" i="60"/>
  <c r="O51" i="60"/>
  <c r="P51" i="60"/>
  <c r="K48" i="60"/>
  <c r="O48" i="60"/>
  <c r="P48" i="60"/>
  <c r="K45" i="60"/>
  <c r="O45" i="60"/>
  <c r="P45" i="60"/>
  <c r="K50" i="60"/>
  <c r="O50" i="60"/>
  <c r="P50" i="60"/>
  <c r="K47" i="60"/>
  <c r="O47" i="60"/>
  <c r="P47" i="60"/>
  <c r="K57" i="60"/>
  <c r="O57" i="60"/>
  <c r="P57" i="60"/>
  <c r="P16" i="60"/>
  <c r="P15" i="59"/>
  <c r="P64" i="59"/>
  <c r="O45" i="57"/>
  <c r="G23" i="54"/>
  <c r="Q20" i="57"/>
  <c r="Q23" i="57"/>
  <c r="Q24" i="57"/>
  <c r="Q30" i="57"/>
  <c r="Q17" i="57"/>
  <c r="Q26" i="57"/>
  <c r="P45" i="57"/>
  <c r="H23" i="54"/>
  <c r="M45" i="57"/>
  <c r="I23" i="54"/>
  <c r="Q36" i="57"/>
  <c r="Q14" i="57"/>
  <c r="Q42" i="56"/>
  <c r="Q7" i="56"/>
  <c r="Q48" i="55"/>
  <c r="Q50" i="55"/>
  <c r="Q14" i="43"/>
  <c r="E30" i="33"/>
  <c r="Q7" i="42"/>
  <c r="Q16" i="41"/>
  <c r="Q20" i="41"/>
  <c r="Q24" i="41"/>
  <c r="Q28" i="41"/>
  <c r="Q32" i="41"/>
  <c r="Q36" i="41"/>
  <c r="Q40" i="41"/>
  <c r="Q44" i="41"/>
  <c r="Q17" i="41"/>
  <c r="Q21" i="41"/>
  <c r="Q25" i="41"/>
  <c r="Q33" i="41"/>
  <c r="Q14" i="41"/>
  <c r="Q50" i="41"/>
  <c r="Q18" i="41"/>
  <c r="Q22" i="41"/>
  <c r="Q26" i="41"/>
  <c r="Q30" i="41"/>
  <c r="Q34" i="41"/>
  <c r="Q38" i="41"/>
  <c r="Q42" i="41"/>
  <c r="Q46" i="41"/>
  <c r="Q106" i="39"/>
  <c r="Q16" i="38"/>
  <c r="Q14" i="38"/>
  <c r="Q40" i="38"/>
  <c r="Q44" i="38"/>
  <c r="Q48" i="38"/>
  <c r="Q52" i="38"/>
  <c r="Q56" i="38"/>
  <c r="Q60" i="38"/>
  <c r="Q64" i="38"/>
  <c r="Q68" i="38"/>
  <c r="Q72" i="38"/>
  <c r="Q76" i="38"/>
  <c r="Q15" i="38"/>
  <c r="Q38" i="38"/>
  <c r="Q42" i="38"/>
  <c r="Q46" i="38"/>
  <c r="Q50" i="38"/>
  <c r="Q54" i="38"/>
  <c r="Q58" i="38"/>
  <c r="Q62" i="38"/>
  <c r="Q66" i="38"/>
  <c r="Q70" i="38"/>
  <c r="Q74" i="38"/>
  <c r="Q39" i="38"/>
  <c r="Q43" i="38"/>
  <c r="Q47" i="38"/>
  <c r="Q51" i="38"/>
  <c r="Q55" i="38"/>
  <c r="Q59" i="38"/>
  <c r="Q63" i="38"/>
  <c r="Q67" i="38"/>
  <c r="Q71" i="38"/>
  <c r="Q75" i="38"/>
  <c r="Q126" i="37"/>
  <c r="Q125" i="37"/>
  <c r="Q123" i="37"/>
  <c r="O143" i="37"/>
  <c r="G24" i="33"/>
  <c r="Q130" i="37"/>
  <c r="Q131" i="37"/>
  <c r="Q134" i="37"/>
  <c r="Q135" i="37"/>
  <c r="Q138" i="37"/>
  <c r="Q139" i="37"/>
  <c r="Q121" i="37"/>
  <c r="P143" i="37"/>
  <c r="H24" i="33"/>
  <c r="Q128" i="37"/>
  <c r="Q129" i="37"/>
  <c r="Q132" i="37"/>
  <c r="Q133" i="37"/>
  <c r="Q136" i="37"/>
  <c r="Q137" i="37"/>
  <c r="Q140" i="37"/>
  <c r="Q141" i="37"/>
  <c r="P106" i="36"/>
  <c r="H23" i="33"/>
  <c r="O106" i="36"/>
  <c r="G23" i="33"/>
  <c r="Q52" i="36"/>
  <c r="Q56" i="36"/>
  <c r="Q60" i="36"/>
  <c r="Q84" i="36"/>
  <c r="M106" i="36"/>
  <c r="I23" i="33"/>
  <c r="Q101" i="36"/>
  <c r="Q99" i="36"/>
  <c r="Q100" i="36"/>
  <c r="N106" i="36"/>
  <c r="F23" i="33"/>
  <c r="Q14" i="36"/>
  <c r="Q26" i="36"/>
  <c r="Q30" i="36"/>
  <c r="Q46" i="36"/>
  <c r="Q58" i="36"/>
  <c r="Q98" i="36"/>
  <c r="Q15" i="36"/>
  <c r="Q19" i="36"/>
  <c r="Q27" i="36"/>
  <c r="Q31" i="36"/>
  <c r="Q51" i="36"/>
  <c r="Q63" i="36"/>
  <c r="Q67" i="36"/>
  <c r="Q71" i="36"/>
  <c r="Q75" i="36"/>
  <c r="Q79" i="36"/>
  <c r="Q83" i="36"/>
  <c r="Q87" i="36"/>
  <c r="Q91" i="36"/>
  <c r="Q95" i="36"/>
  <c r="Q23" i="36"/>
  <c r="Q64" i="36"/>
  <c r="Q68" i="36"/>
  <c r="Q72" i="36"/>
  <c r="Q76" i="36"/>
  <c r="Q92" i="36"/>
  <c r="Q20" i="36"/>
  <c r="Q24" i="36"/>
  <c r="Q37" i="36"/>
  <c r="Q41" i="36"/>
  <c r="Q45" i="36"/>
  <c r="Q49" i="36"/>
  <c r="Q53" i="36"/>
  <c r="Q57" i="36"/>
  <c r="Q65" i="36"/>
  <c r="Q81" i="36"/>
  <c r="Q85" i="36"/>
  <c r="Q90" i="36"/>
  <c r="Q34" i="36"/>
  <c r="Q38" i="36"/>
  <c r="Q42" i="36"/>
  <c r="Q50" i="36"/>
  <c r="Q54" i="36"/>
  <c r="Q62" i="36"/>
  <c r="Q66" i="36"/>
  <c r="Q70" i="36"/>
  <c r="Q74" i="36"/>
  <c r="Q78" i="36"/>
  <c r="Q82" i="36"/>
  <c r="Q86" i="36"/>
  <c r="Q88" i="36"/>
  <c r="Q96" i="36"/>
  <c r="Q18" i="36"/>
  <c r="Q22" i="36"/>
  <c r="Q35" i="36"/>
  <c r="Q39" i="36"/>
  <c r="Q43" i="36"/>
  <c r="Q47" i="36"/>
  <c r="Q55" i="36"/>
  <c r="Q59" i="36"/>
  <c r="Q103" i="36"/>
  <c r="Q34" i="35"/>
  <c r="Q114" i="34"/>
  <c r="O60" i="60"/>
  <c r="H26" i="54"/>
  <c r="P60" i="60"/>
  <c r="P7" i="60" s="1"/>
  <c r="E25" i="54"/>
  <c r="P7" i="59"/>
  <c r="Q45" i="57"/>
  <c r="Q7" i="57"/>
  <c r="E23" i="54"/>
  <c r="E22" i="54"/>
  <c r="Q7" i="55"/>
  <c r="E21" i="54"/>
  <c r="Q7" i="69"/>
  <c r="E33" i="33"/>
  <c r="Q22" i="43"/>
  <c r="N22" i="43"/>
  <c r="F31" i="33"/>
  <c r="Q7" i="41"/>
  <c r="E28" i="33"/>
  <c r="E26" i="33"/>
  <c r="Q7" i="39"/>
  <c r="Q79" i="38"/>
  <c r="Q7" i="38"/>
  <c r="E25" i="33"/>
  <c r="Q143" i="37"/>
  <c r="E24" i="33"/>
  <c r="Q106" i="36"/>
  <c r="E23" i="33"/>
  <c r="E22" i="33"/>
  <c r="Q7" i="35"/>
  <c r="Q7" i="34"/>
  <c r="E21" i="33"/>
  <c r="E31" i="33"/>
  <c r="Q7" i="43"/>
  <c r="Q7" i="37"/>
  <c r="Q7" i="36"/>
  <c r="M56" i="58" l="1"/>
  <c r="I24" i="54" s="1"/>
  <c r="I28" i="54" s="1"/>
  <c r="H14" i="54" s="1"/>
  <c r="O56" i="58"/>
  <c r="G24" i="54" s="1"/>
  <c r="G28" i="54" s="1"/>
  <c r="Q25" i="44"/>
  <c r="Q29" i="44"/>
  <c r="Q33" i="44"/>
  <c r="Q28" i="44"/>
  <c r="Q42" i="44"/>
  <c r="Q20" i="44"/>
  <c r="Q31" i="44"/>
  <c r="Q15" i="44"/>
  <c r="Q19" i="44"/>
  <c r="Q26" i="44"/>
  <c r="Q30" i="44"/>
  <c r="Q32" i="44"/>
  <c r="Q36" i="44"/>
  <c r="P24" i="44"/>
  <c r="Q24" i="44" s="1"/>
  <c r="L24" i="44"/>
  <c r="Q13" i="44"/>
  <c r="M213" i="40"/>
  <c r="I27" i="33" s="1"/>
  <c r="I35" i="33" s="1"/>
  <c r="H14" i="33" s="1"/>
  <c r="O213" i="40"/>
  <c r="G27" i="33" s="1"/>
  <c r="G35" i="33" s="1"/>
  <c r="M72" i="70"/>
  <c r="F27" i="54" s="1"/>
  <c r="F28" i="54" s="1"/>
  <c r="P72" i="70"/>
  <c r="E26" i="54"/>
  <c r="P56" i="58" l="1"/>
  <c r="H24" i="54" s="1"/>
  <c r="H28" i="54" s="1"/>
  <c r="Q7" i="58"/>
  <c r="H15" i="22"/>
  <c r="P48" i="44"/>
  <c r="H32" i="33" s="1"/>
  <c r="Q7" i="44"/>
  <c r="E32" i="33"/>
  <c r="N213" i="40"/>
  <c r="F27" i="33" s="1"/>
  <c r="F35" i="33" s="1"/>
  <c r="P7" i="70"/>
  <c r="E27" i="54"/>
  <c r="E24" i="54" l="1"/>
  <c r="E28" i="54" s="1"/>
  <c r="Q213" i="40"/>
  <c r="Q7" i="40" s="1"/>
  <c r="P213" i="40"/>
  <c r="H27" i="33" s="1"/>
  <c r="H35" i="33" s="1"/>
  <c r="E31" i="54"/>
  <c r="E29" i="54"/>
  <c r="E30" i="54" s="1"/>
  <c r="E27" i="33" l="1"/>
  <c r="E35" i="33" s="1"/>
  <c r="E38" i="33" s="1"/>
  <c r="E32" i="54"/>
  <c r="E36" i="33" l="1"/>
  <c r="E37" i="33" s="1"/>
  <c r="D23" i="2"/>
  <c r="H13" i="54"/>
  <c r="E39" i="33" l="1"/>
  <c r="H13" i="33" s="1"/>
  <c r="D22" i="2" l="1"/>
  <c r="D25" i="2" s="1"/>
  <c r="D26" i="2" s="1"/>
  <c r="D27" i="2" s="1"/>
  <c r="D29" i="2" s="1"/>
</calcChain>
</file>

<file path=xl/sharedStrings.xml><?xml version="1.0" encoding="utf-8"?>
<sst xmlns="http://schemas.openxmlformats.org/spreadsheetml/2006/main" count="5542" uniqueCount="1980">
  <si>
    <t xml:space="preserve">APSTIPRINU </t>
  </si>
  <si>
    <t>________________________________________</t>
  </si>
  <si>
    <t>(pasūtītāja paraksts un tā atšifrējums)</t>
  </si>
  <si>
    <t>Z.v.</t>
  </si>
  <si>
    <t>______.gada ____.____________</t>
  </si>
  <si>
    <t>Būvniecības koptāme</t>
  </si>
  <si>
    <t>Objekta nosaukums</t>
  </si>
  <si>
    <t xml:space="preserve"> Kopā( bez PVN)</t>
  </si>
  <si>
    <t>Sastādīja:</t>
  </si>
  <si>
    <t xml:space="preserve">Būves nosaukums: </t>
  </si>
  <si>
    <t xml:space="preserve">Objekta adrese: </t>
  </si>
  <si>
    <t>Būves nosaukums:</t>
  </si>
  <si>
    <t>Objekta nosaukums:</t>
  </si>
  <si>
    <t>Objekta adrese:</t>
  </si>
  <si>
    <t>Kopējā darbietilpība, c/h</t>
  </si>
  <si>
    <t>Nr.p.k.</t>
  </si>
  <si>
    <t>Kods, tāmes Nr.</t>
  </si>
  <si>
    <t>Tai skaitā</t>
  </si>
  <si>
    <t>Darbietilpība (c/h)</t>
  </si>
  <si>
    <t>Kopā</t>
  </si>
  <si>
    <t>Kopā bez PVN</t>
  </si>
  <si>
    <t>Kods</t>
  </si>
  <si>
    <t>Mērvienība</t>
  </si>
  <si>
    <t>Daudzums</t>
  </si>
  <si>
    <t>Vienības izmaksas</t>
  </si>
  <si>
    <t>Kopā uz visu apjomu</t>
  </si>
  <si>
    <t>Laika norma (c/h)</t>
  </si>
  <si>
    <t xml:space="preserve">Objekta nosaukums: </t>
  </si>
  <si>
    <t>Peļņa</t>
  </si>
  <si>
    <t>m2</t>
  </si>
  <si>
    <t>Pasūtījuma Nr.</t>
  </si>
  <si>
    <t>Vispārējie būvdarbi</t>
  </si>
  <si>
    <t>1,1</t>
  </si>
  <si>
    <t>1,3</t>
  </si>
  <si>
    <t>1,4</t>
  </si>
  <si>
    <t>1,5</t>
  </si>
  <si>
    <t>1,6</t>
  </si>
  <si>
    <t>1,7</t>
  </si>
  <si>
    <t>1,8</t>
  </si>
  <si>
    <t>1,9</t>
  </si>
  <si>
    <t>1,10</t>
  </si>
  <si>
    <t>1,11</t>
  </si>
  <si>
    <t>Virsizdevumi</t>
  </si>
  <si>
    <t>Iekšējais ūdensvads</t>
  </si>
  <si>
    <t>Ārējais ūdensvads</t>
  </si>
  <si>
    <t>Ārējā lietus ūdens kanalizācija</t>
  </si>
  <si>
    <t>Arnis Gailītis</t>
  </si>
  <si>
    <t>Sertifikāta Nr.20-5643</t>
  </si>
  <si>
    <t>Pārbaudīja:</t>
  </si>
  <si>
    <t>Kopsav.tāmes Nr</t>
  </si>
  <si>
    <t>Teritorijas labiekārtošana</t>
  </si>
  <si>
    <t>PVN 21 %</t>
  </si>
  <si>
    <t>1,2</t>
  </si>
  <si>
    <t>tai skaitā darba aizsardzība</t>
  </si>
  <si>
    <t>Piezīmes:</t>
  </si>
  <si>
    <t>Specializētie darbi-iekšējie tīkli, sistēmas</t>
  </si>
  <si>
    <t>Specializētie darbi-ārējie tīkli, sistēmas</t>
  </si>
  <si>
    <t xml:space="preserve"> Būvuzņēmējam jādod pilna apjoma tendera cenu piedāvājums, ieskaitot palīgdarbus  un materiālus, kas nav uzrādīti tāmē, apjomu sarakstā un projektā, bet ir nepieciešami projektētā būvobjekta izbūvei un nodošanai ekspluatācijā.</t>
  </si>
  <si>
    <t>Darba samaksas likme (euro/h)</t>
  </si>
  <si>
    <t>Darba alga (euro)</t>
  </si>
  <si>
    <t>Mehānismi (euro)</t>
  </si>
  <si>
    <t>Kopā (euro)</t>
  </si>
  <si>
    <t>Summa (euro)</t>
  </si>
  <si>
    <t>Par kopējo summu, euro</t>
  </si>
  <si>
    <t>Tāmes izmaksas (euro)</t>
  </si>
  <si>
    <t>darba alga (euro)</t>
  </si>
  <si>
    <t>materiāli (euro)</t>
  </si>
  <si>
    <t>mehānismi (euro)</t>
  </si>
  <si>
    <t>Objekta izmaksas            (euro)</t>
  </si>
  <si>
    <t>4,1</t>
  </si>
  <si>
    <t>3,1</t>
  </si>
  <si>
    <t>3,2</t>
  </si>
  <si>
    <t>3,3</t>
  </si>
  <si>
    <t>3,4</t>
  </si>
  <si>
    <t>3,5</t>
  </si>
  <si>
    <t>3,6</t>
  </si>
  <si>
    <t>2,1</t>
  </si>
  <si>
    <t>2,2</t>
  </si>
  <si>
    <t>2,3</t>
  </si>
  <si>
    <t>2,4</t>
  </si>
  <si>
    <t>2,5</t>
  </si>
  <si>
    <t>2,6</t>
  </si>
  <si>
    <t>2,7</t>
  </si>
  <si>
    <t>2,8</t>
  </si>
  <si>
    <t>2,9</t>
  </si>
  <si>
    <t>2,10</t>
  </si>
  <si>
    <t>2,11</t>
  </si>
  <si>
    <t>Tāmes izmaksas euro:</t>
  </si>
  <si>
    <t>Kopsavilkuma aprēķini pa darbu vai konstruktīvo elementu veidiem Nr. 1</t>
  </si>
  <si>
    <t>Kopsavilkuma aprēķini pa darbu vai konstruktīvo elementu veidiem Nr. 4</t>
  </si>
  <si>
    <t>Kopsavilkuma aprēķini pa darbu vai konstruktīvo elementu veidiem Nr. 3</t>
  </si>
  <si>
    <t>Kopsavilkuma aprēķini pa darbu vai konstruktīvo elementu veidiem Nr. 2</t>
  </si>
  <si>
    <t>Lokālā tāme Nr.</t>
  </si>
  <si>
    <t>Finanšu rezerve neparedzētiem darbiem 5%</t>
  </si>
  <si>
    <t>būvizstrādājumi (euro)</t>
  </si>
  <si>
    <t>Būvizstrādājumi (euro)</t>
  </si>
  <si>
    <t>Būvdarbu veids vai konstruktīvā elementa nosaukums</t>
  </si>
  <si>
    <t>Būvdarbu nosaukums</t>
  </si>
  <si>
    <t>Tiešās izmaksas kopā t.sk. darba devēja sociālais nodoklis(24,09%)</t>
  </si>
  <si>
    <t>Tiešās izmaksas kopā, t.sk. darba devēja sociālais nodoklis(24,09%)</t>
  </si>
  <si>
    <t>Ražošanas ēka</t>
  </si>
  <si>
    <t>Ražošanas ēkas Nr.7 jaunbūve</t>
  </si>
  <si>
    <t>Ventspils, Ventspils Augsto tehnoloģiju parks</t>
  </si>
  <si>
    <t>2016-04</t>
  </si>
  <si>
    <t>Tāme sastādīta 2018.gada tirgus cenās, pamatojoties uz SIA „Baltex Group” būvprojekta rasējumiem un darbu apjomiem</t>
  </si>
  <si>
    <t>Tāme sastādīta:  2018.gada 19. februāris</t>
  </si>
  <si>
    <t>Dzintra Cīrule</t>
  </si>
  <si>
    <t>Sertifikāta Nr.10-0363</t>
  </si>
  <si>
    <t>AUKSTĀ ŪDENSVADA SISTĒMA (Ū1)</t>
  </si>
  <si>
    <t>Plastmasas daudzslāņu cauruļvadi, PN 12,5</t>
  </si>
  <si>
    <t>OD40</t>
  </si>
  <si>
    <t>m</t>
  </si>
  <si>
    <t>OD32</t>
  </si>
  <si>
    <t>OD25</t>
  </si>
  <si>
    <t>OD20</t>
  </si>
  <si>
    <t>OD15</t>
  </si>
  <si>
    <t>Noslēgventīlis uz OD40 cauruļvada</t>
  </si>
  <si>
    <t>DN32</t>
  </si>
  <si>
    <t>gb</t>
  </si>
  <si>
    <t>Noslēgventīlis uz OD32 cauruļvad</t>
  </si>
  <si>
    <t>DN25</t>
  </si>
  <si>
    <t>Noslēgventīlis uz OD25 cauruļvad</t>
  </si>
  <si>
    <t>DN20</t>
  </si>
  <si>
    <t>Noslēgventīlis uz OD20 cauruļvada</t>
  </si>
  <si>
    <t>DN15</t>
  </si>
  <si>
    <t>Vienvirziena vārsts uz OD40 cauruļvada</t>
  </si>
  <si>
    <t>Tukšošanas krāns uz OD20 cauruļvada</t>
  </si>
  <si>
    <t>Lodveida ventīlis iekārtu pievadam</t>
  </si>
  <si>
    <t>DN10</t>
  </si>
  <si>
    <t>Kompensācijas uzmava uz OD32 cauruļvada</t>
  </si>
  <si>
    <t>Kompensācijas uzmava uz OD20 cauruļvada</t>
  </si>
  <si>
    <t>Pretkondesāta izolācija ar biezumu 9mm.</t>
  </si>
  <si>
    <t>Cauruļvadu hidrauliskā pārbaude</t>
  </si>
  <si>
    <t>Ū1 sistēmas dezinfekcija</t>
  </si>
  <si>
    <t>Ūdens priekšattīrīšanas iekārtas RH 3000 komplektā ar cauruļvadu apsaisti un fasondaļām ar cauruļvadu apsaisti un fasondaļām</t>
  </si>
  <si>
    <t>3,5m3/h.</t>
  </si>
  <si>
    <t>kpl</t>
  </si>
  <si>
    <t>Ārējais laistīšanas krāns komplektā ar ātri savienojamu uzmavu DN15</t>
  </si>
  <si>
    <t>Iekšējais laistīšanas krāns komplektā ar ātri savienojamu uzmavu DN15.</t>
  </si>
  <si>
    <t xml:space="preserve">Tērauda aizsargčaula </t>
  </si>
  <si>
    <t>Plastmasas fasondaļas un stiprinājumi, palīgmateriāli.</t>
  </si>
  <si>
    <t>ŪDENS IEVADA MEZGLS UN ŪDENS UZSKAITES MEZGLS</t>
  </si>
  <si>
    <t>Meteriālu pāreja PE OD110/tērauds DN100</t>
  </si>
  <si>
    <t>Tērauda vītņu trejgabals DN100/40/100</t>
  </si>
  <si>
    <t>Tērauda vītņu līkums DN100, 90°</t>
  </si>
  <si>
    <t>Tērauda cauruļvads 48,3x3,2mm</t>
  </si>
  <si>
    <t>DN40</t>
  </si>
  <si>
    <t>0,5</t>
  </si>
  <si>
    <t>Tērauda cauruļvads 26,9x2,6mm</t>
  </si>
  <si>
    <t>Diskveida puspagrieziena vārsts ar elektropiedziņu komplektā ar vadības automātiku</t>
  </si>
  <si>
    <t>DN100</t>
  </si>
  <si>
    <t>Tērauda caurulei enkurojošs atloku adapteris</t>
  </si>
  <si>
    <t>Noslēgventīlis uz OD40 un DN40 cauruļvadiem</t>
  </si>
  <si>
    <t xml:space="preserve">Tērauda vītņu pāreja </t>
  </si>
  <si>
    <t>DN40/20</t>
  </si>
  <si>
    <t>Sietveida mehāniskais filtrs</t>
  </si>
  <si>
    <t>Ūdens skaitītājs</t>
  </si>
  <si>
    <t>Tērauda vītņu krustgabals</t>
  </si>
  <si>
    <t>Ūdens tukšošanas krāns</t>
  </si>
  <si>
    <t>Manometrs</t>
  </si>
  <si>
    <t>Vienvirziena vārsts uz DN40 cauruļvada</t>
  </si>
  <si>
    <t>Meteriālu pāreja PE OD40/tērauds DN40</t>
  </si>
  <si>
    <t>Elektrometināms trejgabals DN32/32/32 uz OD40 caurules</t>
  </si>
  <si>
    <t>Elektrometināms līkums DN32, 90°uz OD40 caurules</t>
  </si>
  <si>
    <t>Cauruļvadu stiprinājumi</t>
  </si>
  <si>
    <t>KONTROL ŪDENS UZSKAITES MEZGLS ĒKĀ Ū1 AUKSTAIS ŪDENSVADS</t>
  </si>
  <si>
    <t>Noslēgventīlis uz OD32 cauruļvada</t>
  </si>
  <si>
    <t>Vītņu pāreja OD32/15</t>
  </si>
  <si>
    <t xml:space="preserve">Tērauda cauruļvads </t>
  </si>
  <si>
    <t xml:space="preserve">m </t>
  </si>
  <si>
    <t>Tērauda vītņu trejgabals DN15/15/15</t>
  </si>
  <si>
    <t>Vienvirziena vārsts uz OD32 cauruļvada</t>
  </si>
  <si>
    <t>UGUNSDZĒSĪBAS ŪDENSVADA SISTĒMA (Ū2)</t>
  </si>
  <si>
    <t>Tērauda cauruļvads DN100 (114x3,6mm)</t>
  </si>
  <si>
    <t>Tērauda cauruļvads DN65 (76,1x3,2mm)</t>
  </si>
  <si>
    <t>DN65</t>
  </si>
  <si>
    <t>Noslēgventīlis (sistēmas tukšošanai)</t>
  </si>
  <si>
    <t>Ugunsdzēsības šļūteņu savienotājgalviņa</t>
  </si>
  <si>
    <t>Pulverdzēšamais ugunsdzēsības aparāts (uzstādāms ugunsdzēsības krānu kastē)</t>
  </si>
  <si>
    <t>Ugunsdzēsības krānu kaste kompl.ar pulverdzēšamā aparāta nodalījumu 650x950x250mm</t>
  </si>
  <si>
    <t>Ugunsdzēsības krāns</t>
  </si>
  <si>
    <t>Stobrs (slēdzams saskaņā ar LVS EN 671-2)</t>
  </si>
  <si>
    <t>Ugunsdzēsības šļūtenes savienojums</t>
  </si>
  <si>
    <t>Ugunsdzēsības plakanā šļūtene d65mm</t>
  </si>
  <si>
    <t>l=25m</t>
  </si>
  <si>
    <t>Ūgunsdzēsības sūkņi - daudzsūkņu iekārta darba+rezerves HUNI CR 10/B komplektā ar mazo sūkni CR 3-15 "Grundfos" komplektā ar vadības automātiku, apsaistes cauruļvadiem, armatūru un tērauda fasondaļām</t>
  </si>
  <si>
    <t>Tērauda fasondaļas un stiprinājumi, palīgmateriāli.</t>
  </si>
  <si>
    <t>KARSTĀ ŪDENSVADA SISTĒMA (S3)</t>
  </si>
  <si>
    <t>Noslēgventīlis uz OD25 cauruļvada</t>
  </si>
  <si>
    <t>Kompensācijas uzmava uz OD25 cauruļvada</t>
  </si>
  <si>
    <t>Siltumizolācija ar biezumu 20mm</t>
  </si>
  <si>
    <t>S3 sistēmas dezinfekcija</t>
  </si>
  <si>
    <t>CIRKULĀCIJAS ŪDENSVADA SISTĒMA (S4)</t>
  </si>
  <si>
    <t>Vienvirziena vārsts uz OD25 cauruļvada</t>
  </si>
  <si>
    <t>Noslēgventīlis uz OD15 cauruļvada</t>
  </si>
  <si>
    <t>S4 sistēmas dezinfekcija</t>
  </si>
  <si>
    <t>Iekšējā kanalizācija</t>
  </si>
  <si>
    <t>SADZĪVES KANALIZĀCIJAS SISTĒMA (K1)</t>
  </si>
  <si>
    <t>Plastmasas kanalizācijas cauruļvadi PP</t>
  </si>
  <si>
    <t>OD110</t>
  </si>
  <si>
    <t>OD50</t>
  </si>
  <si>
    <t>Tīrīšanas lūka grīdā OD110 ar atveramu lūku 200x200</t>
  </si>
  <si>
    <t>Tīrīšanas lūka zem griestiem</t>
  </si>
  <si>
    <t>Revīzija vertikāli uz stāvvada</t>
  </si>
  <si>
    <t>Traps grīdā ar sifonu, metāla resti un izlaidi.</t>
  </si>
  <si>
    <t>Vēdināšanas caurules vāciņs</t>
  </si>
  <si>
    <t>DN50</t>
  </si>
  <si>
    <t>Cauruļvada gala noslēgs</t>
  </si>
  <si>
    <t>Tērauda aizsargčaula 2x0,5m</t>
  </si>
  <si>
    <t>DN200</t>
  </si>
  <si>
    <t>SANITĀRTEHNISKĀS IEKĀRTAS</t>
  </si>
  <si>
    <t>Brīvi stāvošs invalīdu klozetpods ar skrūvēm, skalošanas kasti, pievienošanas caurulēm, sēdrinķi, vāku, speciālajiem rokturiem un stiprinājumiem, ar vertikālo izvadu, balts</t>
  </si>
  <si>
    <t>Brīvi stāvošs klozetpods komplektā ar skrūvēm, skalošanas kasti, pievienošanas caurulēm, sēdrinķi, vāku, ar vertikālo izvadu, balts</t>
  </si>
  <si>
    <t>Pie sienas stiprināma invalīdu keramikas izlietne, balta ar speciālajiem rokturiem, komplektā ar skrūvēm, sifonu, jaucējkrānu</t>
  </si>
  <si>
    <t xml:space="preserve">Pie sienas stiprināma keramikas izlietne, balta, komplektā ar skrūvēm, sifonu, jaucējkrānu </t>
  </si>
  <si>
    <t>Nerūsējošā tērauda virtuves izlietne, komplektā ar skrūvēm, sifonu, jaucējkrānu</t>
  </si>
  <si>
    <t>Dušas jaucējkrāns, dušas galva ar turētāju no sienas</t>
  </si>
  <si>
    <t>Apkure</t>
  </si>
  <si>
    <t>Tērauda radiators Purmo "Compact" komplektā ar montāžas stiprinājumiem, atgaisotāju, korķiem</t>
  </si>
  <si>
    <t>C11-500-500</t>
  </si>
  <si>
    <t>C21-500-1200</t>
  </si>
  <si>
    <t>C22-500-1600</t>
  </si>
  <si>
    <t>Radiatora vārsts</t>
  </si>
  <si>
    <t>Dn15</t>
  </si>
  <si>
    <t>Radiatora termostatgalva</t>
  </si>
  <si>
    <t>Noslēgvārsts</t>
  </si>
  <si>
    <t>Elektriskais radiators ar digitālo termostatu</t>
  </si>
  <si>
    <t xml:space="preserve">Elektriskais dvieļu žāvētājs </t>
  </si>
  <si>
    <t>300W</t>
  </si>
  <si>
    <t>Sildpanelis ZIP ar izolāciju, stiprinājumiem, cinkotu virsmu ar papildus poliestera lakas pārklājumu un DIN 50017 atbilstošu pretkorozijas aizsardzību</t>
  </si>
  <si>
    <t>Zehnder ZIP ECO 6m</t>
  </si>
  <si>
    <t>Zehnder ZIP ECO 5m</t>
  </si>
  <si>
    <t>Zehnder ZIP 4m</t>
  </si>
  <si>
    <t>ZIP pieslēguma kolektors 02-caurulēm, presējams</t>
  </si>
  <si>
    <t>ZIP pieslēguma kolektors 04-caurulēm, presējams</t>
  </si>
  <si>
    <t>ZIP gala kolektors 04-caurulēm, presējams</t>
  </si>
  <si>
    <t>ZIP gala kolektors 08-caurulēm, presējams</t>
  </si>
  <si>
    <t>Zehnder VSRK-25 plūsmas regulat. kompl. ar atgaitas vārstu DN25 , PN 16</t>
  </si>
  <si>
    <t>VSRK-25</t>
  </si>
  <si>
    <t>Honeywell aktuators M30 x 1,5mm, 230 V, 3W, 4mm</t>
  </si>
  <si>
    <t>Honeywell CM707 Telpas programmējams kontrolieris</t>
  </si>
  <si>
    <t>CMT707A1011</t>
  </si>
  <si>
    <t>ZIP PE 25/540 elastīgais pievienojums DN25, L 540mm, 10bar</t>
  </si>
  <si>
    <t xml:space="preserve">Elektroniskais cirkulācijas sūknis </t>
  </si>
  <si>
    <t xml:space="preserve">ALPHA2 25-50 130 </t>
  </si>
  <si>
    <t>MAGNA 3 25-60</t>
  </si>
  <si>
    <t>Trīsgaitas vārsts ar elektrisko piedziņu (Belimo)</t>
  </si>
  <si>
    <t>Dn20 Kvs=6.3</t>
  </si>
  <si>
    <t>Dn32 Kvs=16.0</t>
  </si>
  <si>
    <t>Daudzslāņu kompozītcaurule PEX-c/AL/PE (taisna)</t>
  </si>
  <si>
    <t>16x2,0</t>
  </si>
  <si>
    <t>m.</t>
  </si>
  <si>
    <t>20x2,25</t>
  </si>
  <si>
    <t>25x2,5</t>
  </si>
  <si>
    <t>32x3,0</t>
  </si>
  <si>
    <t>40x4,0</t>
  </si>
  <si>
    <t>50x4,5</t>
  </si>
  <si>
    <t>63x6,0</t>
  </si>
  <si>
    <t xml:space="preserve">Tērauda caurule      </t>
  </si>
  <si>
    <t>Dn20</t>
  </si>
  <si>
    <t>Dn32</t>
  </si>
  <si>
    <t>Dn40</t>
  </si>
  <si>
    <t>Dn50</t>
  </si>
  <si>
    <t>Dn65</t>
  </si>
  <si>
    <t>Dn80</t>
  </si>
  <si>
    <t>Vara caurules</t>
  </si>
  <si>
    <t>12x1,0</t>
  </si>
  <si>
    <t xml:space="preserve">Balansēšanas ventilis </t>
  </si>
  <si>
    <t>STAD Dn10 Kvs=1,47</t>
  </si>
  <si>
    <t>STAD Dn15 Kvs=2,52</t>
  </si>
  <si>
    <t>STAD Dn20 Kvs=5,70</t>
  </si>
  <si>
    <t>STAD Dn25 Kvs=8,70</t>
  </si>
  <si>
    <t>STAD Dn40 Kvs=19.2</t>
  </si>
  <si>
    <t>STAD Dn50 Kvs=33.0</t>
  </si>
  <si>
    <t xml:space="preserve">Lodveida ventilis </t>
  </si>
  <si>
    <t>Dn25</t>
  </si>
  <si>
    <t>Lodveida ventilis (manometriem)</t>
  </si>
  <si>
    <t>Vienvirziena vārsts</t>
  </si>
  <si>
    <t>Sietiņa filtrs</t>
  </si>
  <si>
    <t>Manometrs ar krānu</t>
  </si>
  <si>
    <t>0-6bar</t>
  </si>
  <si>
    <t>Bimetaliskais termometrs</t>
  </si>
  <si>
    <t>0-100°C</t>
  </si>
  <si>
    <t>Automātiskais atgaisotājs ar noslēgvārstu</t>
  </si>
  <si>
    <t>Iztukšošanas ventilis ar uzgali</t>
  </si>
  <si>
    <t>Polietilēna izolācija</t>
  </si>
  <si>
    <t>TL-18/9-DG</t>
  </si>
  <si>
    <t>TL-20/13-DG</t>
  </si>
  <si>
    <t>TL-28/20-DG</t>
  </si>
  <si>
    <t>TL-35/20-DG</t>
  </si>
  <si>
    <t>Minelārvates izolācija</t>
  </si>
  <si>
    <t>22x20mm</t>
  </si>
  <si>
    <t>28x20mm</t>
  </si>
  <si>
    <t>42x30mm</t>
  </si>
  <si>
    <t>48x30mm</t>
  </si>
  <si>
    <t>54x30mm</t>
  </si>
  <si>
    <t>60x30mm</t>
  </si>
  <si>
    <t>64x30mm</t>
  </si>
  <si>
    <t>76x40mm</t>
  </si>
  <si>
    <t>89x40mm</t>
  </si>
  <si>
    <t>Daudzslāņu cauruļvadu veidgabali</t>
  </si>
  <si>
    <t>Daudzslāņu cauruļvadu montāžas  komplekts</t>
  </si>
  <si>
    <t>Tērauda cauruļu veidgabali</t>
  </si>
  <si>
    <t>Tērauda cauruļu montāžas  komplekts</t>
  </si>
  <si>
    <t>Elektrokomutācijas kabeļu komplekts</t>
  </si>
  <si>
    <t>Izolācijas palīgmateriāli</t>
  </si>
  <si>
    <t>Marķēšanas materiāli</t>
  </si>
  <si>
    <t>Ugunsdrošās manžetes</t>
  </si>
  <si>
    <t>atkarībā no montāžas veida</t>
  </si>
  <si>
    <t>Sistēmas hidrauliskā pārbaude, balansēšana un marķēšana</t>
  </si>
  <si>
    <t>Ventilācija</t>
  </si>
  <si>
    <t>Jumta ventilators DHS 400E4 komplektā ar VKS pretvārstu; ātruma regulatoru; jumta kārbu un ASK pāreju</t>
  </si>
  <si>
    <t>DHS 400E4</t>
  </si>
  <si>
    <t>Kanāla ventilators K 100 EC komplektā ar ātruma regulatoru</t>
  </si>
  <si>
    <t>K 100 EC</t>
  </si>
  <si>
    <t>Kanāla ventilators PRIO 160 EC komplektā ar ātruma regulatoru</t>
  </si>
  <si>
    <t>PRIO 160 EC</t>
  </si>
  <si>
    <t>Kanāla ventilators PRIO 200 EC komplektā ar ātruma regulatoru</t>
  </si>
  <si>
    <t>PRIO 200 EC</t>
  </si>
  <si>
    <t>Gaisa sildītājs ar temperatūras sensoriem</t>
  </si>
  <si>
    <t>CBM 125-1,2</t>
  </si>
  <si>
    <t>Kanāla filtrs</t>
  </si>
  <si>
    <t>FFR 125 F5</t>
  </si>
  <si>
    <t>Gaisa vads no cinkotā skārda</t>
  </si>
  <si>
    <t>Ø100</t>
  </si>
  <si>
    <t>Ø125</t>
  </si>
  <si>
    <t>Ø160</t>
  </si>
  <si>
    <t>Ø200</t>
  </si>
  <si>
    <t>Ø250</t>
  </si>
  <si>
    <t>Ø315</t>
  </si>
  <si>
    <t>Ø400</t>
  </si>
  <si>
    <t>Ø500</t>
  </si>
  <si>
    <t>Ø630</t>
  </si>
  <si>
    <t>Ø800</t>
  </si>
  <si>
    <t>Ø1000</t>
  </si>
  <si>
    <t>300x250</t>
  </si>
  <si>
    <t>350x250</t>
  </si>
  <si>
    <t>400x200</t>
  </si>
  <si>
    <t>400x250</t>
  </si>
  <si>
    <t>1000x500</t>
  </si>
  <si>
    <t>1300x900</t>
  </si>
  <si>
    <t>1600x1200</t>
  </si>
  <si>
    <t>1600x1400</t>
  </si>
  <si>
    <t>1900x700</t>
  </si>
  <si>
    <t>1900x1000</t>
  </si>
  <si>
    <t>1900x1200</t>
  </si>
  <si>
    <t>2000x800</t>
  </si>
  <si>
    <t>2000x1400</t>
  </si>
  <si>
    <t>2200x800</t>
  </si>
  <si>
    <t>2800x800</t>
  </si>
  <si>
    <t>2800x1200</t>
  </si>
  <si>
    <t>Gaisa sadalītājs (pieplūde)</t>
  </si>
  <si>
    <t>EAGLE F 160</t>
  </si>
  <si>
    <t>EAGLE F 200</t>
  </si>
  <si>
    <t>EAGLE 160-600+ALS 125-160</t>
  </si>
  <si>
    <t>EAGLE 250-600+ALS 200-250</t>
  </si>
  <si>
    <t>EAGLE W 400-200+ALV 400-200-160</t>
  </si>
  <si>
    <t>SV-1-200-100</t>
  </si>
  <si>
    <t>Gaisa sadalītājs (nosūce)</t>
  </si>
  <si>
    <t>SV-1-1000-500</t>
  </si>
  <si>
    <t>USS/I-1900-1000</t>
  </si>
  <si>
    <t>ALGc 300-100+TRGc 300-100-160</t>
  </si>
  <si>
    <t>PELICAN CE 200-600+ALS 160-200</t>
  </si>
  <si>
    <t>PELICAN CE 250-600+ALS 200-250</t>
  </si>
  <si>
    <t>KSO-100</t>
  </si>
  <si>
    <t>KSO-125</t>
  </si>
  <si>
    <t>Gaisa ieņemšanas / izmešanas reste</t>
  </si>
  <si>
    <t>IGC-125</t>
  </si>
  <si>
    <t>Gaisa ieņemšanas reste</t>
  </si>
  <si>
    <t>USS/I-1300-900</t>
  </si>
  <si>
    <t>USS/I-1600-1400</t>
  </si>
  <si>
    <t>USS/I-2000-1400</t>
  </si>
  <si>
    <t>Gaisa izmešanas jumtiņš</t>
  </si>
  <si>
    <t>VHL 250 315</t>
  </si>
  <si>
    <t>VHL 315 400</t>
  </si>
  <si>
    <t>2300x1600</t>
  </si>
  <si>
    <t>Droseļvārsts ar piedziņu</t>
  </si>
  <si>
    <t>UTK/C-400-400-400+LM230A</t>
  </si>
  <si>
    <t xml:space="preserve">Droseļvārsts </t>
  </si>
  <si>
    <t>PTS/B-100</t>
  </si>
  <si>
    <t>PTS/B-125</t>
  </si>
  <si>
    <t>PTS/B-160</t>
  </si>
  <si>
    <t>PTS/B-200</t>
  </si>
  <si>
    <t>PTS/B-250</t>
  </si>
  <si>
    <t>PTS/B-315</t>
  </si>
  <si>
    <t>UTK/C-800-800-800</t>
  </si>
  <si>
    <t>UTK/R-1000x500</t>
  </si>
  <si>
    <t>Ugunsdrošais vārts EI-45</t>
  </si>
  <si>
    <t>FD-160</t>
  </si>
  <si>
    <t>FD-200</t>
  </si>
  <si>
    <t>FD-250</t>
  </si>
  <si>
    <t>FD-400</t>
  </si>
  <si>
    <t>FD-500</t>
  </si>
  <si>
    <t>FD-400-250</t>
  </si>
  <si>
    <t>FD-1600x1200</t>
  </si>
  <si>
    <t>FD-2200x800</t>
  </si>
  <si>
    <t>FD-2800x800</t>
  </si>
  <si>
    <t>Troksņu slāpētājs</t>
  </si>
  <si>
    <t>CADENZA 2000-800-2450</t>
  </si>
  <si>
    <t>CADENZA 2200-800-2450</t>
  </si>
  <si>
    <t>SLCU 630 1200 100</t>
  </si>
  <si>
    <t>SLCU 800 1200 100</t>
  </si>
  <si>
    <t>SORDO-P 1000-2000</t>
  </si>
  <si>
    <t>Tīrīšanas lūkas</t>
  </si>
  <si>
    <t xml:space="preserve">Minerālvates siltumizolācija "Isover" CLIMCOVER CR1 ALU2 </t>
  </si>
  <si>
    <t>20mm</t>
  </si>
  <si>
    <t>m²</t>
  </si>
  <si>
    <t>30mm</t>
  </si>
  <si>
    <t xml:space="preserve">Minerālvates siltumizolācija "Isover" CLIMCOVER CR2 ALU2 </t>
  </si>
  <si>
    <t>100mm</t>
  </si>
  <si>
    <t xml:space="preserve">Elektroinstalācijas komplekts </t>
  </si>
  <si>
    <t>Gaisa vadu veidgabali un stiprinājumi</t>
  </si>
  <si>
    <t>Sistēmas balansēšana un marķēšana</t>
  </si>
  <si>
    <t>Izolācijas komplekts, montāžas komplekts, palīgmateriāli</t>
  </si>
  <si>
    <t>Gaisa kondicionēšana</t>
  </si>
  <si>
    <t>10kW; R410a</t>
  </si>
  <si>
    <t xml:space="preserve">Kondensāta sūknis </t>
  </si>
  <si>
    <t>Dn100</t>
  </si>
  <si>
    <t>STAD Dn100 Kvs=190.0</t>
  </si>
  <si>
    <t>STAD Dn125 Kvs=300</t>
  </si>
  <si>
    <t xml:space="preserve">Lodveida ventilis  </t>
  </si>
  <si>
    <t xml:space="preserve"> Dn 50</t>
  </si>
  <si>
    <t xml:space="preserve"> Dn 65</t>
  </si>
  <si>
    <t xml:space="preserve"> Dn 100</t>
  </si>
  <si>
    <t xml:space="preserve"> Dn 125</t>
  </si>
  <si>
    <t xml:space="preserve"> Dn 150</t>
  </si>
  <si>
    <t xml:space="preserve"> Dn 15</t>
  </si>
  <si>
    <t>Tehniskais manometrs ar ventili</t>
  </si>
  <si>
    <t xml:space="preserve">0-10 bar </t>
  </si>
  <si>
    <t xml:space="preserve">Tehniskais termometrs </t>
  </si>
  <si>
    <t xml:space="preserve"> Dn 80</t>
  </si>
  <si>
    <t>Vara caurule ar izolāciju freonam</t>
  </si>
  <si>
    <t>9.52mm</t>
  </si>
  <si>
    <t>15.88mm</t>
  </si>
  <si>
    <t>Etilēnglikola - ūdens šķidrums 35%</t>
  </si>
  <si>
    <t>L</t>
  </si>
  <si>
    <t>Freons</t>
  </si>
  <si>
    <t>R410A</t>
  </si>
  <si>
    <t>Prekondensāta izolācija K-FLEX</t>
  </si>
  <si>
    <t>64x19mm</t>
  </si>
  <si>
    <t>89x19mm</t>
  </si>
  <si>
    <t>114x19mm</t>
  </si>
  <si>
    <t>140x19mm</t>
  </si>
  <si>
    <t xml:space="preserve">Prekondensāta izolācijas paklājs </t>
  </si>
  <si>
    <t>25mm</t>
  </si>
  <si>
    <t>Cinkota skārda apšuvums dzesēšanas caurulēm</t>
  </si>
  <si>
    <t>0,5mm</t>
  </si>
  <si>
    <t xml:space="preserve">Tērauda cauruļvadu veidgabali </t>
  </si>
  <si>
    <t>Tērauda cauruļvadu montāžas komplekts</t>
  </si>
  <si>
    <t>Gaisa mitrināšana</t>
  </si>
  <si>
    <t>Gaisa mitrināšanas iekārta komplektā ar ūdens filtrēšanas,sagatavošanas un attīrīšanas sistēmu, ūdens uzskaiti un akumulāciju, aukstspiediena sūkņiem un gaisa mitrināšanas un kontroles vadības sistēmu ar sadalījumu pa zonām, automātikas nodrošinājumu  ar Modbus TCP/IP vai Bacnet IP savienojumu.</t>
  </si>
  <si>
    <t xml:space="preserve">Mitrināšanas diapazons 20-80%; </t>
  </si>
  <si>
    <t>Zonu vārsti ar spiediena novadīšanu no mitrināšanas zonu atzariem no nerūsējošā tērauda</t>
  </si>
  <si>
    <t>Mitruma sensori ar maksimālā mitruma līmeņa dzošības cilpu un signālkabeli</t>
  </si>
  <si>
    <t>Augspiediena caurule ar armējumu un nerūsējošā tērauda stiprinājumiem</t>
  </si>
  <si>
    <t>Gaisa mitrināšanas mitruma sadalīšanas elementi telpā ar 8 sprauslām</t>
  </si>
  <si>
    <t xml:space="preserve">Cauruļvadu veidgabali </t>
  </si>
  <si>
    <t>Cauruļvadu montāžas komplekts</t>
  </si>
  <si>
    <t>Sistēmas hidrauliskā pārbaude un marķēšana</t>
  </si>
  <si>
    <t>Siltuma mezgls</t>
  </si>
  <si>
    <t>Karstā ūdens tvertne komplektā ar sensoriem</t>
  </si>
  <si>
    <t xml:space="preserve">Spiediena regulators </t>
  </si>
  <si>
    <t>AVP 40, Dn 40 Kvs 20.0 m3/h</t>
  </si>
  <si>
    <t>Siltumskaitītājs komplektā ar sensoriem un sensoru ligzdu</t>
  </si>
  <si>
    <t>Siltuma skaitītājs Multical 602 ar plūsmas mērītāju Ultraflow,  Qnom. 15.0 m3/h Dn 50</t>
  </si>
  <si>
    <t>Karstā ūdens plākšņu siltummainis  komplektā ar siltumizolāciju</t>
  </si>
  <si>
    <t>Qs=196.0kW, XB 61L-SB-1-36</t>
  </si>
  <si>
    <t>Apkures plākšņu siltummainis komplektā ar siltumizolāciju</t>
  </si>
  <si>
    <t>Qs=131.17 kW, XB 52 M-1-30</t>
  </si>
  <si>
    <t>Ventilācijas siltumapgādes plākšņu siltummainis komplektā ar siltumizolāciju</t>
  </si>
  <si>
    <t>Qs=318.5 kW, XB 52 M-1-70</t>
  </si>
  <si>
    <t>Procesors (k.ūd.)</t>
  </si>
  <si>
    <t>ECL 310 (A217)</t>
  </si>
  <si>
    <t>Procesors (apkure un ventilācijas siltumapgāde)</t>
  </si>
  <si>
    <t>ECL 310 (A390)</t>
  </si>
  <si>
    <t>Procesors (apkure)</t>
  </si>
  <si>
    <t>ECL 210 (A260)</t>
  </si>
  <si>
    <t>Regulēšanas vārsts (k.ūd.)</t>
  </si>
  <si>
    <t>VRG 2, Dn32</t>
  </si>
  <si>
    <t>Izpildmehānisms (k.ūd.)</t>
  </si>
  <si>
    <t>AMV 35</t>
  </si>
  <si>
    <t>Regulēšanas vārsts (apkure)</t>
  </si>
  <si>
    <t>VRG 2, Dn 20</t>
  </si>
  <si>
    <t>Izpildmehānisms (apkure)</t>
  </si>
  <si>
    <t>AMV 435</t>
  </si>
  <si>
    <t>Regulēšanas vārsts (vent. siltumapgāde)</t>
  </si>
  <si>
    <t>VRG 2, Dn 32</t>
  </si>
  <si>
    <t>Izpildmehānisms (vent. siltumapgāde)</t>
  </si>
  <si>
    <t>Ārgaisa temperatūras sensors</t>
  </si>
  <si>
    <t>ESMT 1</t>
  </si>
  <si>
    <t xml:space="preserve">Ūdens temperatūras sensors (virsmas) </t>
  </si>
  <si>
    <t>ESM 11</t>
  </si>
  <si>
    <t xml:space="preserve">Ūdens temperatūras sensors </t>
  </si>
  <si>
    <t xml:space="preserve">ESMU </t>
  </si>
  <si>
    <t>Karstā ūdens cirkulācijas sūknis</t>
  </si>
  <si>
    <t>Apkures cirkulācijas sūknis</t>
  </si>
  <si>
    <t xml:space="preserve">MAGNA 3 32-100 </t>
  </si>
  <si>
    <t>MAGNA 3 25-120</t>
  </si>
  <si>
    <t>ALPHA 2 25-50 130</t>
  </si>
  <si>
    <t>Vent. siltumapgādes cirkulācijas sūknis</t>
  </si>
  <si>
    <t>MAGNA 3 40-100 F</t>
  </si>
  <si>
    <t>Trīsgaitas vārsts ar el. piedziņu</t>
  </si>
  <si>
    <t>Balansēšanas vārsts</t>
  </si>
  <si>
    <t>STAD 15; Kvs=2.52</t>
  </si>
  <si>
    <t>STAD 50; Kvs=33.0</t>
  </si>
  <si>
    <t>Drošības vārsts</t>
  </si>
  <si>
    <t>6 bar</t>
  </si>
  <si>
    <t>10 bar</t>
  </si>
  <si>
    <t>Piebarošanas ūdens skaitītājs</t>
  </si>
  <si>
    <t>0…90°C 1,5 m3/h</t>
  </si>
  <si>
    <t>Izplešanās tvertne k.ūd. sistēmai</t>
  </si>
  <si>
    <t>V=100 L</t>
  </si>
  <si>
    <t>Izplešanās tvertne apkures sistēmai</t>
  </si>
  <si>
    <t>V=120 L</t>
  </si>
  <si>
    <t>Izplešanās tvertne vent.siltumapgādes sistēmai</t>
  </si>
  <si>
    <t>Lodveida ventilis metināmais "NAVAL"</t>
  </si>
  <si>
    <t xml:space="preserve"> Dn 32 Pn 16</t>
  </si>
  <si>
    <t xml:space="preserve"> Dn 50 Pn 16</t>
  </si>
  <si>
    <t xml:space="preserve"> Dn 65 Pn 16</t>
  </si>
  <si>
    <t xml:space="preserve"> Dn 80 Pn 16</t>
  </si>
  <si>
    <t xml:space="preserve">Lodveida ventilis   </t>
  </si>
  <si>
    <t xml:space="preserve"> Dn 20</t>
  </si>
  <si>
    <t xml:space="preserve"> Dn 25</t>
  </si>
  <si>
    <t xml:space="preserve"> Dn 32</t>
  </si>
  <si>
    <t xml:space="preserve">Vienvirziena vārsts </t>
  </si>
  <si>
    <t xml:space="preserve"> Dn 40</t>
  </si>
  <si>
    <t xml:space="preserve">Vītņu sietiņfiltrs     </t>
  </si>
  <si>
    <t xml:space="preserve">Vītņu sietiņfiltrs </t>
  </si>
  <si>
    <t xml:space="preserve">Atloku sietiņfiltrs     </t>
  </si>
  <si>
    <t xml:space="preserve"> 0-16 bar </t>
  </si>
  <si>
    <t>0-120°C</t>
  </si>
  <si>
    <t xml:space="preserve">Spiediena relejs </t>
  </si>
  <si>
    <t>KP 35</t>
  </si>
  <si>
    <t>1</t>
  </si>
  <si>
    <t>Dn 15</t>
  </si>
  <si>
    <t>Dn 20</t>
  </si>
  <si>
    <t xml:space="preserve"> Pn16</t>
  </si>
  <si>
    <t xml:space="preserve">Elektrometināta tērauda caurule      </t>
  </si>
  <si>
    <t xml:space="preserve">Elektrometināta tērauda caurule       </t>
  </si>
  <si>
    <t>Daudzslāņu cauruļvads</t>
  </si>
  <si>
    <t>PEX Dn 20</t>
  </si>
  <si>
    <t>PEX Dn 40</t>
  </si>
  <si>
    <t>Minerālvates izolācija čaulas</t>
  </si>
  <si>
    <t>28x30mm</t>
  </si>
  <si>
    <t>35x30mm</t>
  </si>
  <si>
    <t>48x40mm</t>
  </si>
  <si>
    <t>60x40mm</t>
  </si>
  <si>
    <t xml:space="preserve"> 89x40mm</t>
  </si>
  <si>
    <t xml:space="preserve">Grunts LARAGRUNTS divas kārtas </t>
  </si>
  <si>
    <t>Gruntējuma GF 021 viena kārta</t>
  </si>
  <si>
    <t>Tērauda cauruļu veidgabali un stiprinājumi</t>
  </si>
  <si>
    <t>Tērauda cauruļu montāžas komplekts</t>
  </si>
  <si>
    <t>Daudzslāņu cauruļu veidgabali un stiprinājumi</t>
  </si>
  <si>
    <t>Daudzslāņu cauruļu montāžas komplekts</t>
  </si>
  <si>
    <t>Elektroinstalācija</t>
  </si>
  <si>
    <t>Sadalnes(komplektā ar automātiku)</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</si>
  <si>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﻿Plastmasas sadales skapis ar metāla durvīm.
</t>
  </si>
  <si>
    <t xml:space="preserve">Montāžas metode Virsapmetuma
Rindu skaits 2
Moduļu skaits 24
Caurspīdīgs pārklājs/durvis Nē
Korpusa materiāls Plastmasa
Augstums 353 mm
Platums 268 mm
Dziļums 102 mm
DIN-sliede Jā
Krāsa Balts
RAL numurs 9003
Aizsardzības pakāpe (IP) IP40
</t>
  </si>
  <si>
    <t>Montāžas metode Virsapmetuma
Rindu skaits 5
Moduļu skaits 120
Korpusa materiāls Plastmasa
Augstums 900 mm
Platums 550 mm
Dziļums 148 mm
DIN-sliede Jā
Krāsa Balts
Aizsardzības pakāpe (IP) IP30</t>
  </si>
  <si>
    <t>Montāžas metode Zemapmetuma
Rindu skaits 3
Moduļu skaits 54
Korpusa materiāls Plastmasa
Augstums 660 mm
Platums 486 mm
Dziļums 109 mm
Iebūvēšanas dziļums 95 mm
DIN-sliede Jā
Krāsa Balts
Aizsardzības pakāpe (IP) IP30</t>
  </si>
  <si>
    <t>Montāžas metode Virsapmetuma
Rindu skaits 2
Moduļu skaits 26
Korpusa materiāls Plastmasa
Augstums 450 mm
Platums 336 mm
Dziļums 123 mm
DIN-sliede Jā
Krāsa Balts
Aizsardzības pakāpe (IP) IP30</t>
  </si>
  <si>
    <t>Montāžas metode Virsapmetuma
Rindu skaits 3
Moduļu skaits 36
Caurspīdīgs pārklājs/durvis Jā
Korpusa materiāls Plastmasa
Augstums 610 mm
Platums 448 mm
Dziļums 160 mm
DIN-sliede Jā
Krāsa Pelēks
RAL numurs 7035
Aizsardzības pakāpe (IP) IP65</t>
  </si>
  <si>
    <t>Sadalnes slēdzene</t>
  </si>
  <si>
    <t>Gaismekļi</t>
  </si>
  <si>
    <t xml:space="preserve">Gaismeklis LED 92W, 320x342x65mm, 13195lm, v/a, IP 65, IK 08  4000K, 143lm/W, TRILUX Mirona Fit TB LED13000-840,  kalpošanas laiks &gt;50 000H, garantija 5gadi, L80B10, CRI&gt;80, vai ekvivalents
</t>
  </si>
  <si>
    <t>Gaismeklis LED 181W, 650x342x110mm, 26390lm, v/a, IP 65, IK 07  4000K, 145.8 lm/W, TRILUX Mirona Fit-Spo TB LED 26000-840,  kalpošanas laiks &gt;50 000H, garantija 5gadi, L80B10, CRI&gt;80, vai ekvivalents</t>
  </si>
  <si>
    <t xml:space="preserve">Gaismeklis LED 41W, 1475x65x65mm, 6500lm, v/a, IP 54, IK 06  4000K, 160 lm/W, TRILUX E-Line  B LED6500-840,  kalpošanas laiks &gt;50 000H, garantija 5gadi, L80B10, CRI&gt;80, vai ekvivalents
</t>
  </si>
  <si>
    <t xml:space="preserve">Gaismeklis LED 74W, 1475x65x65mm, 9996lm, v/a, IP 54, IK 06  4000K, 135 lm/W, TRILUX E-Line G2 T LED10000-840 ,  kalpošanas laiks &gt;50 000H, garantija 5gadi, L80B10, CRI&gt;80, vai ekvivalents
</t>
  </si>
  <si>
    <t>Gaismeklis LED 74W, 1475x65x65mm, 9992.5lm, v/a, IP 54, IK 06  4000K, 135 lm/W, TRILUX E-Line G2 B LED10000-840,  kalpošanas laiks &gt;50 000H, garantija 5gadi, L80B10, CRI&gt;80, vai ekvivalents</t>
  </si>
  <si>
    <t>Gaismeklis LED 35W, 1500x88x70mm, 5396lm, v/a, IP 54, IK 06  4000K, 154 lm/W, TRILUX E-Line B LED5500-840, kalpošanas laiks &gt;50 000H, garantija 5gadi, L80B10, CRI&gt;80, vai ekvivalents</t>
  </si>
  <si>
    <t>Gaismeklis LED 36W, 1200x88x77mm, 4000lm, v/a, IP 66,IK 04  4000K, 111 lm/W, TRILUX Olexeon 1200 B 4000-840 ET,  kalpošanas laiks &gt;50 000H, garantija 5gadi, L80B10, CRI&gt;80, vai ekvivalents</t>
  </si>
  <si>
    <t xml:space="preserve">Gaismeklis LED 50W, D=650mm, h=20mm, 6000lm, v/a, IP 40,  4000K, 119.98 lm/W, TRILUX LateraloR H1 BLGS 6000-840 01 ETDD, kalpošanas laiks &gt;50 000H, garantija 5gadi, L80B10, CRI&gt;80, vai ekvivalents
</t>
  </si>
  <si>
    <t xml:space="preserve">Gaismeklis LED 16W, D=150mm, 1700lm, z/a, IP 54,  3000K, 112.4 lm/W, TRILUX InperlaLP C05 HR22 1800-830 01 ET, kalpošanas laiks &gt;50 000H, garantija 5gadi, L80B10, CRI&gt;80, vai ekvivalents
</t>
  </si>
  <si>
    <t>Gaismeklis LED 9W, D=150mm, 1000lm, v/a, IP 54,  3000K, 111 lm/W, TRILUX InperlaLP C05 BR19 1000-830 01 ET, kalpošanas laiks &gt;50 000H, garantija 5gadi, L80B10, CRI&gt;80, vai ekvivalents</t>
  </si>
  <si>
    <t>Gaismeklis LED 16W, D=150mm, 1800lm, z/a, IP 54,  4000K, 112.4 lm/W, TRILUX InperlaLP C05 HR22 1800-840 01 ET, kalpošanas laiks &gt;50 000H, garantija 5gadi, L80B10, CRI&gt;80, vai ekvivalents</t>
  </si>
  <si>
    <t>Gaismeklis LED 53W, 1500x88x77mm, 5700lm, v/a, IP 66,IK 04  4000K, 107.53 lm/W, TRILUX Olexeon 1500 B 6000-840 ET, kalpošanas laiks &gt;50 000H, garantija 5gadi, L80B10, CRI&gt;80, vai ekvivalents</t>
  </si>
  <si>
    <t xml:space="preserve">Gaismeklis LED 9W, D=150mm, 1000lm, v/a, IP 54,  4000K, 111 lm/W, TRILUX InperlaLP C05 BR19 1000-840 01 ET, kalpošanas laiks &gt;50 000H, garantija 5gadi, L80B10, CRI&gt;80, vai ekvivalents
</t>
  </si>
  <si>
    <t>Gaismeklis LED 18W, D=316mm, 1800lm, v/a, IP 440,  4000K, 100 lm/W, TRILUX Onplana D09 CDP19 2000-840 01 ET, kalpošanas laiks &gt;50 000H, garantija 5gadi, L80B10, CRI&gt;80, vai ekvivalents</t>
  </si>
  <si>
    <t>Gaismeklis LED 61W, 1203x200x45mm, 6700lm, v/a, IP 20,  4000K, 109.81 lm/W, TRILUX Lunexo H1 CDP-I 6500 840 01 ETDD, kalpošanas laiks &gt;50 000H, garantija 5gadi, L80B10, CRI&gt;80, vai ekvivalents</t>
  </si>
  <si>
    <t>Gaismeklis LED 40W, 595x595mm, 4000lm, v/a, IP 40,  4000K, 100 lm/W, TRILUX ArimoS M73 CDP LED4000-840 ET, kalpošanas laiks &gt;50 000H, garantija 5gadi, L80B10, CRI&gt;80, vai ekvivalents</t>
  </si>
  <si>
    <t>Gaismeklis LED 17W, D=400mm, h=68mm, 2000lm, v/a, IP 40,  4000K, 117.64 lm/W, TRILUX PolaronIQ H2D LED2000-840, kalpošanas laiks &gt;50 000H, garantija 5gadi, L80B10, CRI&gt;80, vai ekvivalents</t>
  </si>
  <si>
    <t>Gaismeklis LED 25W, D=150mm, 2700lm, v/a, IP 54,  4000K, 107.95 lm/W, TRILUX InperlaLP C05 HR22 2700-840 01 ET, kalpošanas laiks &gt;50 000H, garantija 5gadi, L80B10, CRI&gt;80, vai ekvivalents</t>
  </si>
  <si>
    <t>Avārijas gaismeklis LED 1W, plats leņķis, D=100mm,H=37mm, 150lm, IP20, v/a, centrālai baterijas sistēmai, AWEX AXPU/1W/Z/CB/ADE/WH  vai ekvivalents</t>
  </si>
  <si>
    <t xml:space="preserve">Avārijas gaismeklis LED 6W, plats leņķis, D=202mm, H=58mm, 620m, IP65, v/a, centrālai baterijas sistēmai, AWEX AXNU/6W/B/SE  vai ekvivalents
</t>
  </si>
  <si>
    <t>Avārijas gaismeklis LED 6W, plats leņķis, D=202mm, H=58mm, 600lm, IP65, v/a, centrālai baterijas sistēmai, AWEX AXNR/6W/B/SE  vai ekvivalents</t>
  </si>
  <si>
    <t>Avārijas gaismeklis LED 6W, plats leņķis, D=202mm, H=58mm, 600lm, IP65, v/a, centrālai baterijas sistēmai, AWEX AXNO_3W_B 6.1W  vai ekvivalents</t>
  </si>
  <si>
    <t>Avārijas gaismeklis LED 3W, plats leņķis, 222x227mm, 360lm, IP 65, v/a, centrālai baterijas sistēmai, AWEX ODB 3x1W- CB 5.9 W  vai ekvivalents</t>
  </si>
  <si>
    <t xml:space="preserve">Avārijas gaismeklis LED 1W, plats leņķis, 132x132x54mm, 140lm, IP41, v/a, centrālai baterijas sistēmai, AWEX LV2U/1W - CB  LOVATO II vai ekvivalents
</t>
  </si>
  <si>
    <t>Avārijas gaismeklis LED 3W, plats leņķis, 132x132x54mm, 370lm, IP41, v/a, centrālai baterijas sistēmai, AWEX LV2U/3W - CB 3 W  LOVATO II vai ekvivalents</t>
  </si>
  <si>
    <t>Evakuācijas gaismeklis LED 2W, 337x189mm iekarams, IP 44, v/a, centrālai baterijas sistēmai, FZLV 24V DC, AWEX INFINITY II ALL  vai ekvivalents</t>
  </si>
  <si>
    <t>Fasādes apgaismojums</t>
  </si>
  <si>
    <t>Apgaismojuma komutācija</t>
  </si>
  <si>
    <t>Herm.slēdzis,10A, z.a., /v.a ar kārbu IP 44</t>
  </si>
  <si>
    <t>Apgaismojuma regulators,10A, z.a., ar kārbu IP 20</t>
  </si>
  <si>
    <t>Herm. 2 polu slēdzis, 10A, z.a./v.a ar kārbu IP 44</t>
  </si>
  <si>
    <t>Slēdzis, 10A z.a., ar kārbu IP 20</t>
  </si>
  <si>
    <t>2 polu slēdzis, 10A, z.a. ar kārbu IP 20</t>
  </si>
  <si>
    <t>3 polu slēdzis, 10A, v.a. ar kārbu IP 44</t>
  </si>
  <si>
    <t xml:space="preserve"> Pārslēdzis 10A, z.a. ar kārbu IP 20</t>
  </si>
  <si>
    <t>Klātbūtnes sensors, IP20,  Steinel PC PRO Dual HF, augstfrekvences, z/a</t>
  </si>
  <si>
    <t>Klātbūtnes sensors, IP54,  Steinel PC PRO IR Quattro, v/a augstfrekvences</t>
  </si>
  <si>
    <t>Klātbūtnes sensors, IP20,  Steinel PC PRO HF 360, z/a augstfrekvences</t>
  </si>
  <si>
    <t>Klātbūtnes sensors, IP54,  Steinel PC PRO HF 360, z/a augstfrekvences</t>
  </si>
  <si>
    <t>Klātbūtnes sensors, IP54,  Steinel PC PRO IR Quattro SLIM, v/a augstfrekvences</t>
  </si>
  <si>
    <t>Savienojumi</t>
  </si>
  <si>
    <t>Herm. Kārba, vadu savienoj.</t>
  </si>
  <si>
    <t>Kabeļi/ kabeļu aizsardzība</t>
  </si>
  <si>
    <t>Kabelis NYY-J 5x240</t>
  </si>
  <si>
    <t>Kabelis NYY-J 4x150</t>
  </si>
  <si>
    <t>Kabelis NYY-J 5x16</t>
  </si>
  <si>
    <t>Kabelis NYY-J 5x10</t>
  </si>
  <si>
    <t>Kabelis NYY-J 5x6</t>
  </si>
  <si>
    <t>Kabelis NYY-J 5x4</t>
  </si>
  <si>
    <t>Kabelis NYY-J 5x2.5</t>
  </si>
  <si>
    <t>Kabelis XPJ-5x6</t>
  </si>
  <si>
    <t>Kabelis XPJ-5x4</t>
  </si>
  <si>
    <t>Kabelis XPJ-5x2,5</t>
  </si>
  <si>
    <t>Kabelis XPJ-3x2.5</t>
  </si>
  <si>
    <t>Kabelis XPJ-5x1.5</t>
  </si>
  <si>
    <t>Kabelis XPJ-4x1.5</t>
  </si>
  <si>
    <t>Kabelis XPJ-3x1.5</t>
  </si>
  <si>
    <t>Kabelis NHXH-J E90-5x50</t>
  </si>
  <si>
    <t>Kabelis NHXH-J E30-3x1.5</t>
  </si>
  <si>
    <t>Kabelis NHXH-J E30-3x2.5</t>
  </si>
  <si>
    <t>Gofrēta Aizsargcaurule 50 mm</t>
  </si>
  <si>
    <t>Gofrēta Aizsargcaurule 32 mm</t>
  </si>
  <si>
    <t>Gofrēta Aizsargcaurule 20 mm</t>
  </si>
  <si>
    <t>Gofrēta Aizsargcaurule 16 mm</t>
  </si>
  <si>
    <t>Gludsienu PE aizsargcaurule D=20mm</t>
  </si>
  <si>
    <t>Stiprinājumi/savilces/marķieri</t>
  </si>
  <si>
    <t>Elektroietaises/ kontaktligzdas</t>
  </si>
  <si>
    <t>Kontaktligzda ar zem.,16A,z.a, L+N+PE, ar kārbu IP20.</t>
  </si>
  <si>
    <t>Kontaktligzda ar zem.,2-vietīga, 16A,z.a, L+N+PE, ar kārbu IP20.</t>
  </si>
  <si>
    <t>Kontaktligzda ar zem.,4-vietīga, 16A,z.a, L+N+PE, ar kārbu IP20.</t>
  </si>
  <si>
    <t>Kontaktligzda ar zem.,16A,z.a, L+N+PE, ar kārbu IP44.</t>
  </si>
  <si>
    <t>Kontaktligzda ar zem., 2-vietīga,16A,z.a, L+N+PE, ar kārbu IP44.</t>
  </si>
  <si>
    <t>Kontaktligzda ar zem., 3-vietīga,16A,z.a, L+N+PE, ar kārbu IP44.</t>
  </si>
  <si>
    <t>Kontaktligzda ar zem., 2-vietīga,16A,v.a, L+N+PE, ar kārbu IP44.</t>
  </si>
  <si>
    <t>Kontaktligzda 3 fāzes, 400/230 16A, z.a. ar kārbu IP44</t>
  </si>
  <si>
    <t>Kontaktligzda ar zem., 2-vietīga, 16A, iebūvēta kabeļkanālā, L+N+PE, ar kārbu IP20.</t>
  </si>
  <si>
    <t>Kontaktligzda ar zem., 4-vietīga, 16A, iebūvēta kabeļkanālā, L+N+PE, ar kārbu IP20.</t>
  </si>
  <si>
    <t>Kontaktligzdu Grīdas kārba 6-v 72x199x199mm OptiLine 45 ar 6gab kontaktligzdām .</t>
  </si>
  <si>
    <t>Herm.kārba 3 fāzes, IP44</t>
  </si>
  <si>
    <t>Herm.kārba IP 44</t>
  </si>
  <si>
    <t>Ugunsdzēsības skapju spiedpogas IP66 230V</t>
  </si>
  <si>
    <t>Ugunsdroša kārba E90</t>
  </si>
  <si>
    <t>Ugunsdrošas skavas kabeļa stiprināšanai pie sienas E90</t>
  </si>
  <si>
    <t>Slēdžu, kontaktligzdu rāmīši</t>
  </si>
  <si>
    <t>Cinkota kabeu trepe 60x200 C3-C-4</t>
  </si>
  <si>
    <t>Cinkota kabeu trepe 60x300 C3-C-4</t>
  </si>
  <si>
    <t>Cinkota kabeu trepe 60x400 C3-C-4</t>
  </si>
  <si>
    <t>Cinkota kabeu trepe 60x500 C3-C-4</t>
  </si>
  <si>
    <t>Cinkota gaismas rene  50x70, C3-C-2</t>
  </si>
  <si>
    <t>Nerūsējoša tērauda kabeļu rene 60x100, ugumsdroša E90 C3-C-4</t>
  </si>
  <si>
    <t>Nerūsējoša tērauda kabeļu rene 60x70, ugumsdroša E90 C3-C-5</t>
  </si>
  <si>
    <t xml:space="preserve"> Kabeļu renes ugunsdroša Pagrieziens  60x100</t>
  </si>
  <si>
    <t xml:space="preserve"> Kabeļu renes ugunsdroša  Pagrieziens  60x70</t>
  </si>
  <si>
    <t xml:space="preserve"> Kabeļu trepes Pagrieziens  60x200</t>
  </si>
  <si>
    <t xml:space="preserve"> Kabeļu trepes Pagrieziens  60x300</t>
  </si>
  <si>
    <t xml:space="preserve"> Kabeļu trepes Pagrieziens  60x400</t>
  </si>
  <si>
    <t xml:space="preserve"> Kabeļu trepes Pagrieziens  60x500</t>
  </si>
  <si>
    <t>Kabeļu renes ugunsdroša T veida savienojums 100/100/100</t>
  </si>
  <si>
    <t>Kabeļu renes ugunsdroša T veida savienojums 70/70/70</t>
  </si>
  <si>
    <t xml:space="preserve">Kabeļu trepes T veida savienojums 200/200/200 </t>
  </si>
  <si>
    <t xml:space="preserve">Kabeļu trepes T veida savienojums 300/200/300 </t>
  </si>
  <si>
    <t>Kabeļu trepes T veida savienojums 300/300/200</t>
  </si>
  <si>
    <t xml:space="preserve">Kabeļu trepes T veida savienojums 300/300/300 </t>
  </si>
  <si>
    <t>Kabeļu trepes T veida savienojums 400/400/500</t>
  </si>
  <si>
    <t>Kabeļu trepes T veida savienojums 400/400/400</t>
  </si>
  <si>
    <t>Kabeļu trepes T veida savienojums 400/400/300</t>
  </si>
  <si>
    <t>Kabeļu trepes T veida savienojums 400/300/300</t>
  </si>
  <si>
    <t>Kabeļu trepes T veida savienojums 500/300/300</t>
  </si>
  <si>
    <t>Kabeļu trepes T veida savienojums 500/500/300</t>
  </si>
  <si>
    <t>Kabeļu trepes T veida savienojums 500/500/500</t>
  </si>
  <si>
    <t>Kabeļu trepes T veida savienojums 300/300/300/300</t>
  </si>
  <si>
    <t>Kabeļu trepes T veida savienojums 400/200/300/300</t>
  </si>
  <si>
    <t>Kabeļu trepes T veida savienojums 500/500/300/300</t>
  </si>
  <si>
    <t>Grīdasbalsts 149x149mm ASR-TF, priekš ASR profila+ Profilsliede 48x89mm 6m ASR-L</t>
  </si>
  <si>
    <t>Kabeļu zemes kanāls 20x50mm, montāžai betona grīdā</t>
  </si>
  <si>
    <t>Aizsargcaurule EVOEL FM, 750N, D=160mm</t>
  </si>
  <si>
    <t>Aizsargcaurule EVOEL FM, 750N, D=110mm</t>
  </si>
  <si>
    <t>Aizsargcaurule EVOEL FM, 750N, D=50mm</t>
  </si>
  <si>
    <t>Aizsargcaurule EVOEL FM, 450N, D=40mm</t>
  </si>
  <si>
    <t>Gluda caurule D=63mm 750N  pelēka EVOEL SM</t>
  </si>
  <si>
    <t>Gluda caurule D=40mm 750N  pelēka EVOEL SM</t>
  </si>
  <si>
    <t>Kabeļplauktu stiprinājumi</t>
  </si>
  <si>
    <t>Kabeļplauktu stiprinājumi, ugunsdroši E90</t>
  </si>
  <si>
    <t>Ugunsdroša mastika</t>
  </si>
  <si>
    <t>l</t>
  </si>
  <si>
    <t>Atvērumi sienās kabeļplauktu montāžai</t>
  </si>
  <si>
    <t>Atvērumi pamatos, kabeļu caurules montāžai</t>
  </si>
  <si>
    <t>Palīgmateriāli</t>
  </si>
  <si>
    <t>Zibensaizsardzība,zemējums</t>
  </si>
  <si>
    <t xml:space="preserve"> Zemējuma lenta 40x4mm, cinkots tērauds,</t>
  </si>
  <si>
    <t>Zemējuma stieple Ø10mm</t>
  </si>
  <si>
    <t>Atklāts zibensnovadītajs, cinkots apaļdzelzs D= 8mm ar stieples turētāju- bituma jumtam</t>
  </si>
  <si>
    <t>Atklāts zibensnovadītajs, cinkots apaļdzelzs D= 8mm ar stieples turētāju- fasādei - metāla konstrukcija</t>
  </si>
  <si>
    <t>Mērījumu klemme slēgtā kārbā .</t>
  </si>
  <si>
    <t>Potenciālu izlīdzinošā kopne Ø8-10mm/30x5mm  PVC korpusā</t>
  </si>
  <si>
    <t xml:space="preserve">Pievien. klemme zemējuma stienim
8-10/40/20mm </t>
  </si>
  <si>
    <t>Zemējuma stienis Ø20mm 1.5m ar šlicēm A-tips, c. tērauda</t>
  </si>
  <si>
    <t>Pievienoj. Klemme apaļdzelzs/apaļdzelzs</t>
  </si>
  <si>
    <t>Izplešanās elements,Cu, 16 mm², 300 mm</t>
  </si>
  <si>
    <t>Pievienoj. Klemme apaļdzelzs/plakandzekzs</t>
  </si>
  <si>
    <t>Pievienoj. Klemme ar metāla konstr.</t>
  </si>
  <si>
    <t>Pievienoj. Klemme ar noteku</t>
  </si>
  <si>
    <t>Pievienoj. Klemme ar sniega barjeru</t>
  </si>
  <si>
    <t>Zemējuma stieņa spice TE20, 20mm tips A, BP</t>
  </si>
  <si>
    <t>Pārsprieguma noved.  (I + II klase)</t>
  </si>
  <si>
    <t>Pārsprieguma noved.  II klase</t>
  </si>
  <si>
    <t>Vads H07V-K 1x50mm</t>
  </si>
  <si>
    <t>Vads H07V-K 1x35mm²</t>
  </si>
  <si>
    <t>Vads H07V-K 1x16mm²</t>
  </si>
  <si>
    <t>Vads H07V-K 1x10mm²</t>
  </si>
  <si>
    <t>Vads H07V-K 1x6mm²</t>
  </si>
  <si>
    <t>1024 -Pretkorozijas lenta 50mm/10m 1</t>
  </si>
  <si>
    <t>Temonosēde/ apaļdzelzim</t>
  </si>
  <si>
    <t>Palīgmateriāli, savienojumi</t>
  </si>
  <si>
    <t xml:space="preserve">Apsardzes un piekļuves sistēmas iekārtas un ierīces </t>
  </si>
  <si>
    <t>Concept 4000 kontrol panelis korpusā ar barošanas bloku, 16 zonas, 2000 lietotāju, 96 rajoni, (paplašinās līdz: 64 standarta durvīm, 32 intelektuālām durvīm, 32 termināliem, 512 zonām, 6 liftiem) 460x358x85 995002EU</t>
  </si>
  <si>
    <t>Inner Range</t>
  </si>
  <si>
    <t>kpl.</t>
  </si>
  <si>
    <t>995016 512kB čipš priekš 995002EU</t>
  </si>
  <si>
    <t>gb.</t>
  </si>
  <si>
    <t>Ethernet + 1 x RS232 Porta moduļa plate. 995090</t>
  </si>
  <si>
    <t>LAN izolators metāla kastē. 995080</t>
  </si>
  <si>
    <t>Insight Professional: 1 panelis, 1 klients
Datora sistēmas minimālās vajadzības: 2GHz single-core processor; 1Gb RAM; CD-ROM; USB; 300Mb free HDD space; Pele, tastatūra;  Windows® XP or Windows® Vista.
Datora sistēmas rekomendējamās vajadzības: 2 GHz dual core processor; 4Gb RAM; CD-ROM; 100 Mbps network interface card; USB; 260Gb HDD (SQL bāzei jāliek lielāķi diski); Pele, tastatūra;  Microsoft® Windows® 2003 Server. 994402UK</t>
  </si>
  <si>
    <t>Reporting Licence: darba laika uzskaite, klienta vēsture, pieeja. 994405</t>
  </si>
  <si>
    <t>Active User Rotation Module (AURM) 994432</t>
  </si>
  <si>
    <t>16 Zonu paplašinātājs (metāla korpusā ar barošanas bloku). 995004</t>
  </si>
  <si>
    <t>16 zonu paplašinātāja plate 995006</t>
  </si>
  <si>
    <t>1. durvju kontroleris ar korpusu un baroš.bloku  995011PS</t>
  </si>
  <si>
    <t>Color LCD tastatūra, 995060</t>
  </si>
  <si>
    <t>Rackmount 4U case/i7 cpu  4770T 2,5 GHz/3x4Tb WDRed SATA 3 HDD/ 128Gb SSD/16Gb DDR4 RAM/ gigabit etherneth/ Win10 pro x64 licence</t>
  </si>
  <si>
    <t>Akumulators 12V 7.0Ah</t>
  </si>
  <si>
    <t>APC UPS 19' RACK 1U 2000VA LAN interface</t>
  </si>
  <si>
    <t>Patch kabelis RJ-45 - RJ-45 FTP Kat.6 3m</t>
  </si>
  <si>
    <t>Proximity karšu nolasītājs</t>
  </si>
  <si>
    <t>Rosslare AYJR-12B Wiegant 26bit</t>
  </si>
  <si>
    <t>Proximity karšu nolasītājs iekštelpu</t>
  </si>
  <si>
    <t>Rosslare AYJR-12W Wiegant 26bit</t>
  </si>
  <si>
    <t>Sistēmas devēji:</t>
  </si>
  <si>
    <t>Magnetiskais kontakts</t>
  </si>
  <si>
    <t>Vārtu magnētiskais kontakts MS-55</t>
  </si>
  <si>
    <t xml:space="preserve">IR kustibas detektors </t>
  </si>
  <si>
    <t>IR kustibas detektora stiprinājuma kronšteins (pie sienas vai griestiem)</t>
  </si>
  <si>
    <t xml:space="preserve">El.magnēts līdz 400kg </t>
  </si>
  <si>
    <t>ML-300</t>
  </si>
  <si>
    <t xml:space="preserve">1-durvju moduļa kārba </t>
  </si>
  <si>
    <t>150x150mm</t>
  </si>
  <si>
    <t>Barošanas bloks 12VDC 12A</t>
  </si>
  <si>
    <t>Kabeļi un vadi:</t>
  </si>
  <si>
    <t>Kabelis UTP Kat.6, iekš. Instalācijai</t>
  </si>
  <si>
    <t>UTP Kat.6</t>
  </si>
  <si>
    <t>Kabelis 6x0.22</t>
  </si>
  <si>
    <t>CQR</t>
  </si>
  <si>
    <t xml:space="preserve">Barošanas kabelis iekšējai instalācijai </t>
  </si>
  <si>
    <t>NYM-J 3x2.5 mm2</t>
  </si>
  <si>
    <t>NYM-J 2x0,75 mm2</t>
  </si>
  <si>
    <t xml:space="preserve">Gofrēta caurule </t>
  </si>
  <si>
    <t xml:space="preserve">d=25mm </t>
  </si>
  <si>
    <t xml:space="preserve">Gofrēta caurule āreja </t>
  </si>
  <si>
    <t>d=40mm</t>
  </si>
  <si>
    <t>Savienojumu kārba ārejai uzstādīšanai IP 65</t>
  </si>
  <si>
    <t>Papildmateriāli</t>
  </si>
  <si>
    <t>Ugunsdrošais pildījums</t>
  </si>
  <si>
    <t xml:space="preserve"> (java GVS Fire Stop )</t>
  </si>
  <si>
    <t xml:space="preserve">Ugunsgrēka atklāšanas un trauksmes signalizācijas sistēma </t>
  </si>
  <si>
    <t xml:space="preserve">Kontroles panelis   </t>
  </si>
  <si>
    <t>IRIS (1-4) L P LV</t>
  </si>
  <si>
    <t>Korpus papildus baterijām</t>
  </si>
  <si>
    <t>Battery Box IRIS 100 Ah</t>
  </si>
  <si>
    <t>Cilpu paplašinātājs</t>
  </si>
  <si>
    <t>IRIS Loop TTE</t>
  </si>
  <si>
    <t xml:space="preserve">Akumulators </t>
  </si>
  <si>
    <t>12V/17 A/h</t>
  </si>
  <si>
    <t xml:space="preserve">Adrešu kombinēts dūmu un siltuma devējs </t>
  </si>
  <si>
    <t>SensoIRIS M140 / 31060048</t>
  </si>
  <si>
    <t xml:space="preserve">Adrešu siltumu devējs </t>
  </si>
  <si>
    <t>SensoIRIS T110 IS / 31060050</t>
  </si>
  <si>
    <t xml:space="preserve">Devēju bāze </t>
  </si>
  <si>
    <t>SensoIRIS B124 / 31060047</t>
  </si>
  <si>
    <t xml:space="preserve">Adrešu kombinēts dūmu un siltuma devējs ar iebūvēto izolatoru </t>
  </si>
  <si>
    <t>SensoIRIS M140IS / 31060048</t>
  </si>
  <si>
    <t>Rokas adreses trauksmes poga ar izolatoru</t>
  </si>
  <si>
    <t>SensoIRIS MCP 150 / 31060045</t>
  </si>
  <si>
    <t xml:space="preserve">Rokas adreses trauksmes pogas bāze </t>
  </si>
  <si>
    <t xml:space="preserve">Vadības modulis </t>
  </si>
  <si>
    <t>SensoIRIS MIO22</t>
  </si>
  <si>
    <t xml:space="preserve">Adrešu sirēna </t>
  </si>
  <si>
    <t>SensoIRIS BSOU IS / 32020011</t>
  </si>
  <si>
    <t>Analoga sirēna ar gaismas indikāciju IP65</t>
  </si>
  <si>
    <t>Iznesamais LED indikators</t>
  </si>
  <si>
    <t>Instalācijas materiāli:</t>
  </si>
  <si>
    <t>Kabelis vent. Atslēgšana</t>
  </si>
  <si>
    <t>JE-H(ST)H FE180/PH90 2x1.0</t>
  </si>
  <si>
    <t>Kabelis</t>
  </si>
  <si>
    <t xml:space="preserve"> 1x2x0.8+0.8 (E30) Eurosafe</t>
  </si>
  <si>
    <t xml:space="preserve">Kabelis  </t>
  </si>
  <si>
    <t xml:space="preserve">NHXN-FE180/E30 3x2.5mm2 </t>
  </si>
  <si>
    <t>Aizsargcaurule PVC d25 mm</t>
  </si>
  <si>
    <t>Kabeļu kanāls 10x20</t>
  </si>
  <si>
    <t>Kabeļu kanāls 40x60</t>
  </si>
  <si>
    <t>Instalācijas materiāli</t>
  </si>
  <si>
    <t>Starpsienu urbšanas darbi</t>
  </si>
  <si>
    <t xml:space="preserve">gb. </t>
  </si>
  <si>
    <t xml:space="preserve">Videonovērošanas sistēmas iekārtas un ierīces </t>
  </si>
  <si>
    <t>IP videokamera (iekštelpās)</t>
  </si>
  <si>
    <t>HikVision DS-2CD2532F-IS</t>
  </si>
  <si>
    <t>IP videokamera (uz fasādes)</t>
  </si>
  <si>
    <t>HikVision DS-2CD2T22-I5</t>
  </si>
  <si>
    <t>Ierakstīšanas ierīce, dators</t>
  </si>
  <si>
    <t>Rackmount 4U case/i7 cpu  4770T 2,5 GHz/6x8Tb WDRed SATA 3 HDD/ 128Gb SSD/16Gb DDR4 RAM/ gigabit etherneth/ Win10 pro x64 licence</t>
  </si>
  <si>
    <t>Instalācijas un papildus materiāli</t>
  </si>
  <si>
    <t>Sakaru sistēmas (datoru un telefonu tīkli)</t>
  </si>
  <si>
    <t>Telekomunikāciju skapis ar metāla durvīm un slēdzi</t>
  </si>
  <si>
    <t>42U 1000x800mm</t>
  </si>
  <si>
    <t>14U 1000x800mm</t>
  </si>
  <si>
    <t>Ventilatoru panelis ar termostatu</t>
  </si>
  <si>
    <t>Zemējuma klemme komutācijas skapim</t>
  </si>
  <si>
    <t>Skrūves - uzgriežņi M6 (komutācijas skapim)</t>
  </si>
  <si>
    <t>9-vietīgā el. Rozete 19' montēt komutācijas skapī</t>
  </si>
  <si>
    <t>PoE switch 26 ports Cisco</t>
  </si>
  <si>
    <t>SLM2024PT SG 200-26P</t>
  </si>
  <si>
    <t>PoE Switch 50 port Cisco</t>
  </si>
  <si>
    <t>SLM2048PT SG 200-50P</t>
  </si>
  <si>
    <t>Switch 50 port Cisco</t>
  </si>
  <si>
    <t>SFP modulis SM Mikrotik</t>
  </si>
  <si>
    <t>S-31DLC20D</t>
  </si>
  <si>
    <t>Patch panelis Cat6</t>
  </si>
  <si>
    <t xml:space="preserve">24p Cat6 UTP B3 </t>
  </si>
  <si>
    <t>24p duplex optiskais patch panelis ar kaseti un SC adapteri</t>
  </si>
  <si>
    <t>Pigteils SM-SC</t>
  </si>
  <si>
    <t xml:space="preserve">Cat6 UTP patch kabelis 1.0m </t>
  </si>
  <si>
    <t>Cat6 UTP 1m</t>
  </si>
  <si>
    <t xml:space="preserve">Cat6 UTP patch kabelis 3.0m </t>
  </si>
  <si>
    <t>Cat6 UTP 3m</t>
  </si>
  <si>
    <t>SM optiskais patch kabelis 2.0m SC-LC</t>
  </si>
  <si>
    <t>SM SC-LC 2m</t>
  </si>
  <si>
    <t>SM optiskais patch kabelis 10.0m LC-LC</t>
  </si>
  <si>
    <t>SM LC-LC 10m</t>
  </si>
  <si>
    <t xml:space="preserve">SM optiskais patch kabelis 2.0m LC-LC </t>
  </si>
  <si>
    <t>SM LC-LC 2m</t>
  </si>
  <si>
    <t>Kabeļu organaizeris horizontālais</t>
  </si>
  <si>
    <t>UPS APC Smart-UPS 3000VA LCD RM 2U 230V</t>
  </si>
  <si>
    <t xml:space="preserve">Kabelis </t>
  </si>
  <si>
    <t>B3 Cat6 4x2x0.5 LSZH (Low Smoke Zero Halogen)</t>
  </si>
  <si>
    <t xml:space="preserve">Optisko šķiedru kabelis 24 dzīslas SM </t>
  </si>
  <si>
    <t>A-DQ(ZN)B2Y</t>
  </si>
  <si>
    <t>Dubultie datu rozetes komplekti ar kārbu un rāmīšiem</t>
  </si>
  <si>
    <t>Vienvietīgais datu rozetes komplekti ar kārbu un rāmīšiem</t>
  </si>
  <si>
    <t>Ugunsdrošās putas caurumu aizpildīšanai</t>
  </si>
  <si>
    <t>PVC caurule d20</t>
  </si>
  <si>
    <t>Rievu kalšana</t>
  </si>
  <si>
    <t>Kabeļu kanāls 65x130</t>
  </si>
  <si>
    <t xml:space="preserve">Kabeļu trepe no nerūsejošā tērauda </t>
  </si>
  <si>
    <t>Schneider Electric WIBE 300mm 3m AISI316L</t>
  </si>
  <si>
    <t>Kabeļu trepes līkums 90°</t>
  </si>
  <si>
    <t>Schneider Electric WIBE 300mm AISI316L</t>
  </si>
  <si>
    <t>Kabeļu trepes "T" veida savienojums</t>
  </si>
  <si>
    <t>Montāžas un stiprināšanas materiāli</t>
  </si>
  <si>
    <t>Ārējā sadzīves kanalizācija</t>
  </si>
  <si>
    <t>Ārējie elektrotīkli</t>
  </si>
  <si>
    <t>Ārējie siltumtīkli</t>
  </si>
  <si>
    <t>Ārējie vājstrāvu tīkli</t>
  </si>
  <si>
    <t>Ūdensvada sistēma Ū1 (materiāli)</t>
  </si>
  <si>
    <t>PE spiediena cauruļvadi PN10, PE100</t>
  </si>
  <si>
    <t>OD160</t>
  </si>
  <si>
    <t xml:space="preserve">Pazemes tipa eksplutācijas aizbīdnis ar kāta pagarinātāju un kaļamā ķeta kapi bruģa segumā. Spiediena klase PN10. Kaļamā ķeta kape atbilstoši LVS EN124 ar iekšējo diametru ne mazāku par 160mm. </t>
  </si>
  <si>
    <t>DN150</t>
  </si>
  <si>
    <t>Ķeta atloku trejgabals DN150/150/150</t>
  </si>
  <si>
    <t>Ķeta atloku trejgabals DN150/100/150</t>
  </si>
  <si>
    <t>Ķeta atloku līkums DN150, 90°</t>
  </si>
  <si>
    <t>Enkurojošs atloku adapteris PE cauruļvadam OD160</t>
  </si>
  <si>
    <t>Enkurojošs atloku adapteris PE cauruļvadam OD110</t>
  </si>
  <si>
    <t>Universālais atloku adapteris</t>
  </si>
  <si>
    <t>Betona balsts</t>
  </si>
  <si>
    <t>Dz/betona aka komplektā ar kāpšļiem, tērauda aizsargč., pamatni, pārsegumu, čuguna vāku zaļajā zonā, slodzes klase 25t. ar augstuma regulēšanas gredzeniem un hidroizolāciju pilnā apjomā. H=2,26m</t>
  </si>
  <si>
    <t>DN1500</t>
  </si>
  <si>
    <t>Pazemes tipa ugunsdzēsības hidrants (uzstādāms dz/betona akā) komplektā ar aizbīdņa kāta pagarinātāju, ķeta atloku trejgabalu un visiem nepieciešamajiem savienojumiem un stiprinājumiem. Hidranta stāvvads siltināts. Betona atbalsta bloks zem līkuma 90°</t>
  </si>
  <si>
    <t>Esošā bruģa seguma atjaunošana saskaņā ar konstruktīvo shēmu lapā ŪKT-3.</t>
  </si>
  <si>
    <t>Palīgmateriāli cauruļvadu un akas montāžai</t>
  </si>
  <si>
    <t>Smilts pabērums zem cauruļvada un šahtas</t>
  </si>
  <si>
    <t>h=20cm</t>
  </si>
  <si>
    <t>m3</t>
  </si>
  <si>
    <t>Smilts apbērums un uzbērums virs cauruļvada</t>
  </si>
  <si>
    <t>h=Ø+20cm</t>
  </si>
  <si>
    <t>Smilšaina grunts ar filtrācijas koeficentu K&gt;1,0m/dnn.</t>
  </si>
  <si>
    <t>Ūdensvada sistēma Ū1 (darbu apjomi)</t>
  </si>
  <si>
    <t>Trases nospraušana</t>
  </si>
  <si>
    <t xml:space="preserve">Cauruļvadu montāža tranšejā </t>
  </si>
  <si>
    <t>Pieslēgums pie esošā tīkla d150</t>
  </si>
  <si>
    <t>vietas</t>
  </si>
  <si>
    <t>Smilts pabēruma ieklāšana un blietēšana</t>
  </si>
  <si>
    <t>Smilts apbēruma ieklāšana un uzbēruma ieklāšana</t>
  </si>
  <si>
    <t>Šķērsojumi ar esošajām komunikācijām un to atšurfēšana ar rokām bez mehānismiem</t>
  </si>
  <si>
    <t>Pazemes tipa ekspluatācijas aizbīdņa DN150 ar kapi asfalta segumā montāža</t>
  </si>
  <si>
    <t>Tranšejas rakšana</t>
  </si>
  <si>
    <t>Tranšejas aizbēršana ar jaunu pievestu grunti (smilšaina grunts, filtrācijas koeficents K&gt;1,0m/dnn.</t>
  </si>
  <si>
    <t>Liekās grunts aizvešana uz pasūtītāja norādīto atbērtni</t>
  </si>
  <si>
    <t>Cauruļvadu dezinfekcija</t>
  </si>
  <si>
    <t>Izpilddokumentācijas izgatavošana un saskaņošana</t>
  </si>
  <si>
    <t>Izbūvētā ūdensvada nodošana ekspluatācijā</t>
  </si>
  <si>
    <t>Būvgružu utilizācija</t>
  </si>
  <si>
    <t>Grunts ūdens līmeņa atsūknēšana visā tranšejas garumā</t>
  </si>
  <si>
    <t>Sadzīves kanalizācijas sistēma K1 (materiāli)</t>
  </si>
  <si>
    <t>PP monolītsienu pašteces sadzīves kanalizācijas cauruļvads, ieguldes klase SN8</t>
  </si>
  <si>
    <t>Rūpnieciski ražots siltināts pašteces kanalizācijas cauruļvads PP, ieguldes klase SN8</t>
  </si>
  <si>
    <t>OD110/200</t>
  </si>
  <si>
    <t>Kanalizācijas plastmasas skataka Ø600 komplektā ar pamatni, augstuma regulējošo cauruli, blīvgumiju, manžeti, teleskopu, vāka rāmi; peldošā tipa vāku 40 t. dziļumā no 1,50m - 2,00m</t>
  </si>
  <si>
    <t>Ø600</t>
  </si>
  <si>
    <t>Kanalizācijas plastmasas skataka Ø600 komplektā ar pamatni, augstuma regulējošo cauruli, blīvgumiju, manžeti, teleskopu, vāka rāmi; vāku zaļajā zonā 25 t. dziļumā no 1,84m</t>
  </si>
  <si>
    <t>Palīgmateriāli cauruļvadu un aku montāžai</t>
  </si>
  <si>
    <t>Smilts pabērums zem cauruļvada</t>
  </si>
  <si>
    <t>Sadzīves kanalizācijas sistēma K1 (darbu apjomi)</t>
  </si>
  <si>
    <t>Cauruļvadu montāža tranšejā</t>
  </si>
  <si>
    <t>Plastmasas akas montāža</t>
  </si>
  <si>
    <t>Smilts uzbēruma ieklāšana</t>
  </si>
  <si>
    <t>Liekās grunts aizvešana uz pasūtītāja norādīto vietu</t>
  </si>
  <si>
    <t>Pieslēgums pie esošā kanalizācijas tīkla d160 pie atzara</t>
  </si>
  <si>
    <t>Pieslēgums pie esošā kanalizācijas tīkla esošajā akā</t>
  </si>
  <si>
    <t>Cauruļvadu CCTV inspekcija</t>
  </si>
  <si>
    <t>Izbūvēto kanalizācijas cauruļvadu nodošana ekspluatācijā</t>
  </si>
  <si>
    <t>Lietus kanalizācijas sistēma K2 (materiāli)</t>
  </si>
  <si>
    <t>PP pašteces lietus kanalizācijas cauruļvads SN8</t>
  </si>
  <si>
    <t>OD315</t>
  </si>
  <si>
    <t>OD200</t>
  </si>
  <si>
    <t>Kanalizācijas plastmasas aka Ø600 komplektā ar pamatni, augstuma regulējošo cauruli, blīvgumiju, manžeti, teleskopu, vāka rāmi; peldošā tipa vāku 40 t. dziļumā no 1,71m - 2,49m.</t>
  </si>
  <si>
    <t>Kanalizācijas plastmasas skataka Ø425 komplektā ar pamatni, augstuma regulējošo cauruli, blīvgumiju, manžeti, teleskopu, vāka rāmi; peldošā tipa vāku 40 t. dziļumā no 1,00m - 1,50m</t>
  </si>
  <si>
    <t>Ø425</t>
  </si>
  <si>
    <t>Kanalizācijas plastmasas skataka Ø425 komplektā arpamatni, augstuma regulējošo cauruli, blīvgumiju, manžeti, teleskopu, vāka rāmi; peldošā tipa vāku 40 t. dziļumā no 1,50m - 2,00m</t>
  </si>
  <si>
    <t>Kanalizācijas plastmasas skataka Ø425 komplektā ar pamatni, augstuma regulējošo cauruli, blīvgumiju, manžeti, teleskopu, vāka rāmi; vāku zaļajā zonā 25 t. dziļumā 1,90m</t>
  </si>
  <si>
    <t>Kanalizācijas plastmasas skataka Ø315 komplektā ar pamatni, augstuma regulējošo cauruli, blīvgumiju, manžeti, teleskopu, vāka rāmi; peldošā tipa vāku 40 t. dziļumā no 1,00m - 1,50m</t>
  </si>
  <si>
    <t>Lietus ūdens uztvērējaka - PE gūlija D425, ar nosēddaļu 0,5m komplektā ar pamatni, augstuma regulējošo cauruli, blīvgumiju, manžeti, teleskopu, peldošā tipa restoto vāku četrstūrveida 0,5mx0,5m, 40tn, un vāka rāmi. Dziļumā h=1,50m - 2,00m</t>
  </si>
  <si>
    <t>Revīzija uz notekas</t>
  </si>
  <si>
    <t>Lietus kanalizācijas sistēma K2 (darbu apjomi)</t>
  </si>
  <si>
    <t>Plastmasas aku un gūliju montāža</t>
  </si>
  <si>
    <t>Pieslēgums pie esošā kanalizācijas tīkla d200 atzara</t>
  </si>
  <si>
    <t>Materiālu izmaksas</t>
  </si>
  <si>
    <t>Kabeļu kanalizācijas caurule</t>
  </si>
  <si>
    <t>100x6000</t>
  </si>
  <si>
    <t>Caurules līkums</t>
  </si>
  <si>
    <t>100/90 grādu leņķī</t>
  </si>
  <si>
    <t>Plastmasas aka ar KV-pamatni</t>
  </si>
  <si>
    <t>KP-PEH 800x650</t>
  </si>
  <si>
    <t>Kab. kanalizācijas akas vāks (max. slodze 12,5 t)</t>
  </si>
  <si>
    <t>Silikons N, neitrāls hermēt.310ml</t>
  </si>
  <si>
    <t>Atloks dz/b gredzena stiprināšanai</t>
  </si>
  <si>
    <t>Kabeļu akas dzelzbetona riņķis</t>
  </si>
  <si>
    <t>Aku lūkas stiprinājuma gredzens," peldoš"</t>
  </si>
  <si>
    <t>Kabeļu cauruļu blīvēšanas materiāls 16 A</t>
  </si>
  <si>
    <t>Strēmelēs plīstošā brīdin. lenta 50mmx500m</t>
  </si>
  <si>
    <t>PEH caurule</t>
  </si>
  <si>
    <t>d50</t>
  </si>
  <si>
    <t xml:space="preserve">Virve kabeļa ievilkšanai </t>
  </si>
  <si>
    <t>6mm/500m</t>
  </si>
  <si>
    <t>Optiskais kabelis</t>
  </si>
  <si>
    <t>24 dz., SM</t>
  </si>
  <si>
    <t>Dzīslu organizatorplate</t>
  </si>
  <si>
    <t>24 dz.</t>
  </si>
  <si>
    <t>Gofrēta caurule</t>
  </si>
  <si>
    <t>d25</t>
  </si>
  <si>
    <t>Montāžas materiāli</t>
  </si>
  <si>
    <t>aktīvā aparatūra</t>
  </si>
  <si>
    <t xml:space="preserve">Komutators (switch) </t>
  </si>
  <si>
    <t>Aruba 3810M 48G (JL074A) PoE+</t>
  </si>
  <si>
    <t>Modulis</t>
  </si>
  <si>
    <t>HPE Aruba 3810M 4SFP+ Module</t>
  </si>
  <si>
    <t>Barošanas bloks</t>
  </si>
  <si>
    <t>Aruba X372 54VDC 1050W 110-240VAC Power Supply (JL087A)</t>
  </si>
  <si>
    <t>Darbu izmaksas</t>
  </si>
  <si>
    <t>kan./m.</t>
  </si>
  <si>
    <t xml:space="preserve">Kabeļu kanalizācijas cauruļu ieguldīšana tranšejā </t>
  </si>
  <si>
    <t>Kabeļu sakaru akas KP-PEH uzstādīšana</t>
  </si>
  <si>
    <t>Kabeļu kanalizācijas ievada izbūvēšana</t>
  </si>
  <si>
    <t>Iekštelpas stāvvada izbūvēšana</t>
  </si>
  <si>
    <t>Bruģa seguma atjaunošana</t>
  </si>
  <si>
    <t>Zaļas zonas seguma atjaunošana</t>
  </si>
  <si>
    <t>Dzīslu organizatorplates uzstādīšana esošā uzmavā</t>
  </si>
  <si>
    <t>Optisko šķēdru metināšana</t>
  </si>
  <si>
    <t>Optisko kabeļa vilkšana esošā kanalizācijā</t>
  </si>
  <si>
    <t>Optisko kabeļa vilkšana jaunā kanalizācijā</t>
  </si>
  <si>
    <t>Optisko kabeļa vilkšana iekštelpā</t>
  </si>
  <si>
    <t>Atkritumu izvešana</t>
  </si>
  <si>
    <t>Nodošanas dokumentācija</t>
  </si>
  <si>
    <t>Mērījumi, izpilddokumentācija</t>
  </si>
  <si>
    <t>Darba vietas sakopšana</t>
  </si>
  <si>
    <t>Papilddarbi</t>
  </si>
  <si>
    <t>Materiāli</t>
  </si>
  <si>
    <t>Izolētas caurules Ø89/180</t>
  </si>
  <si>
    <t>Izolētas caurules Ø139/250</t>
  </si>
  <si>
    <t>Elektrometināmas tērauda caurules Ø88.9x3.2</t>
  </si>
  <si>
    <t>Izolēts paralēlais T-atzars Ø89/180 caurulei Ø139/250</t>
  </si>
  <si>
    <t>Izolēts vārsts Ø89/180, H=0.73m</t>
  </si>
  <si>
    <t>PE augstuma regulēšanas monolīta gludsienu šahta/caurule Dn/OD 200 mm, gumijas manšete Dn/OD 200/160 mm, PE monolīta gludsienu teleskopa caurule Dn/OD 160 mm, ķeta rāmis ar vāku Dn 160 mm, iebūves klase D400 (40t)</t>
  </si>
  <si>
    <t>Cauruļvadu savienojuma termonosēdošā uzmava Ø180 caurulei komplektā ar 2 termonosēdošām manžetēm, PUR putu komponentes</t>
  </si>
  <si>
    <t>Cauruļvadu savienojuma termonosēdošā uzmava Ø250 caurulei komplektā ar 2 termonosēdošām manžetēm, PUR putu komponentes</t>
  </si>
  <si>
    <t>Izolēts līkums Ø89/180 90° (L1=1000mm; L2=1000mm)</t>
  </si>
  <si>
    <t>Izolēts līkums Ø89/180 90° (L1=1000mm; L2=1500mm)</t>
  </si>
  <si>
    <t>gab.</t>
  </si>
  <si>
    <t>Izolēts vertikālais līkums Ø89/180 90° (L1=1500mm; L2=1500mm)</t>
  </si>
  <si>
    <t>Elastīgie ievadi Ø180, blīvējuma gredzens</t>
  </si>
  <si>
    <t>Gala uzmava caurulēm Ø89/180</t>
  </si>
  <si>
    <t>Kompensācijas spilvens</t>
  </si>
  <si>
    <t xml:space="preserve">Betons </t>
  </si>
  <si>
    <r>
      <t>m</t>
    </r>
    <r>
      <rPr>
        <vertAlign val="superscript"/>
        <sz val="10"/>
        <color theme="1"/>
        <rFont val="Arial"/>
        <family val="2"/>
        <charset val="186"/>
      </rPr>
      <t>3</t>
    </r>
  </si>
  <si>
    <t>Akmens vates čaulas 89x50mm; λ=0,054</t>
  </si>
  <si>
    <t>Akmens vates čaulas 89x60mm; λ=0,054</t>
  </si>
  <si>
    <t>Avārijas signalizācijas kārba</t>
  </si>
  <si>
    <t>Metināšanas materiāli</t>
  </si>
  <si>
    <t>Pārējie materiāli, palīgmateriāli</t>
  </si>
  <si>
    <t>Elektrokabeļu aizsargcaurule Arot PS110</t>
  </si>
  <si>
    <t>Marķējuma lentas ieklāšana</t>
  </si>
  <si>
    <t>Grunts krāsa LARAGRUNTS 2 kārtas</t>
  </si>
  <si>
    <t>litri</t>
  </si>
  <si>
    <t>Rupjgraudainas smilts bez māla un akmeņiem</t>
  </si>
  <si>
    <t>Darbu apjomi</t>
  </si>
  <si>
    <t>Grunts izstrāde ar ekskavatoru</t>
  </si>
  <si>
    <t>Grunts izstrāde ar rokām</t>
  </si>
  <si>
    <t>Grunts izstrāde ar rokām komunikāciju tuvumā</t>
  </si>
  <si>
    <t>precizēt pēc vietas</t>
  </si>
  <si>
    <t>Zālāja noņemšana</t>
  </si>
  <si>
    <r>
      <t>m</t>
    </r>
    <r>
      <rPr>
        <vertAlign val="superscript"/>
        <sz val="10"/>
        <color theme="1"/>
        <rFont val="Arial"/>
        <family val="2"/>
        <charset val="186"/>
      </rPr>
      <t>2</t>
    </r>
  </si>
  <si>
    <t>Trotuāra bortu noņemšana</t>
  </si>
  <si>
    <t>Tranšejas aizbēršana</t>
  </si>
  <si>
    <t>Pamatnes ierīkošana zem cauruļvadiem no rupjgraudainas smilts h=0,15m (bez māla un akmeņiem) blietēta līdz 98%</t>
  </si>
  <si>
    <t>Smilšu apbērums virs (h=0,3m) un ap caurulēm, blietēts līdz 98%</t>
  </si>
  <si>
    <t>Pārējās tranšejas daļas aizbēršana, blietēta līdz 95%</t>
  </si>
  <si>
    <t>Liekā grunts ar vešanu prom un atpakaļ vešanu</t>
  </si>
  <si>
    <t>Zālāja atjaunošana</t>
  </si>
  <si>
    <t>Trotuāra bortu atjaunošana</t>
  </si>
  <si>
    <t>Celtniecības darbi</t>
  </si>
  <si>
    <t>Divcauruļu siltumtīklu montāža no rūpnieciski izolētām tērauda caurulēm tranšejā</t>
  </si>
  <si>
    <t>Rūpnieciski izolētu veidgabu montāža tranšejā</t>
  </si>
  <si>
    <t>Ievada montāža ēkā 2xd89/180</t>
  </si>
  <si>
    <t>Ievada montāža siltummezglā 2xd89/180</t>
  </si>
  <si>
    <t>Pieslēgums pie esošiem tīkliem</t>
  </si>
  <si>
    <t>Elektrokabeļu aizsardzība Arot PS110</t>
  </si>
  <si>
    <t>Kompensācijas spilvenu montāža</t>
  </si>
  <si>
    <t xml:space="preserve">Teleskopiskas skatakas montāža </t>
  </si>
  <si>
    <t>Siltumtrases cauruļvadu hidrauliskā un ultraskaņas pārbaude</t>
  </si>
  <si>
    <t>Sagatavošanas darbi</t>
  </si>
  <si>
    <t>Objekta nospraušana un nostiprināšana dabā</t>
  </si>
  <si>
    <t>Zemes klātne</t>
  </si>
  <si>
    <t xml:space="preserve">Gultnes sagatavošana ceļiem un laukumiem,lieko grunti aizvedot uz atbērtni </t>
  </si>
  <si>
    <t>Laukumu planēšana</t>
  </si>
  <si>
    <t>Ceļi un laukumi</t>
  </si>
  <si>
    <t>Salizturīgā dren.smilts slāņa kf=1m/dnn izbūve  h min=40 cm</t>
  </si>
  <si>
    <t>Betona bruģakmens segums</t>
  </si>
  <si>
    <t>Betona bruģakmens seguma izbūve 80 mm</t>
  </si>
  <si>
    <t>Betona bruģakmens seguma izbūve 60 mm</t>
  </si>
  <si>
    <t>Betona apmales</t>
  </si>
  <si>
    <t>Betona apmales 100.30.15  uzstādīšana uz betona pamatnes</t>
  </si>
  <si>
    <t>Ietves betona apmaļu 1000x220x150 mm  uzstādīšana uz betona pamatnes</t>
  </si>
  <si>
    <t>Ietves betona apmaļu 1000x200x80mm  uzstādīšana uz betona pamatnes</t>
  </si>
  <si>
    <t>Apzaļumošana</t>
  </si>
  <si>
    <t>Aprīkojums</t>
  </si>
  <si>
    <t>Horizontālais marķējums  ar termoplastu stāvvietu apzīmēšanai</t>
  </si>
  <si>
    <t>Žogs</t>
  </si>
  <si>
    <t>Projektējamais žogs no SIA "Preiss Būve". Žoga marka "NYLOFLOR 3M", stabi
"NYLOFLOR", kur viena žoga paneļa izmēri 3000x1530h mm. Tonis: RAL 6005 (zaļš) vai ekvivalents ierīkošana</t>
  </si>
  <si>
    <t>t.m.</t>
  </si>
  <si>
    <t>Projektējamās barjeras  l=4,8 m</t>
  </si>
  <si>
    <t>Koku zāģēšana,celmu laušana un transportēšana uz atbērtni</t>
  </si>
  <si>
    <t>Lapkoku stādīšana ar stādāmās vietas sagatavošanu saskaņā ar GP</t>
  </si>
  <si>
    <t>Tunberga bārbele</t>
  </si>
  <si>
    <t>Karēlijas bērzs</t>
  </si>
  <si>
    <t>Baltais grimonis</t>
  </si>
  <si>
    <t>Māku ieva</t>
  </si>
  <si>
    <t>Lemuāna filadelfs</t>
  </si>
  <si>
    <t>Melnzeme</t>
  </si>
  <si>
    <t>Mulča</t>
  </si>
  <si>
    <t>Ziemcietes stādīšana ar stādāmās vietas sagatavošanu saskaņā ar GP</t>
  </si>
  <si>
    <t>Amelas ziemastere</t>
  </si>
  <si>
    <t>Lielziedu vīgrieze</t>
  </si>
  <si>
    <t>Šaurlapu lavanda</t>
  </si>
  <si>
    <t>Rožu malvs</t>
  </si>
  <si>
    <t>Zālāji ar melnzemes kārtu 15 cm ierīkošana</t>
  </si>
  <si>
    <t xml:space="preserve">Laukakmens seguma izbūve </t>
  </si>
  <si>
    <t>Pamatne betona bruģakmens segumam zem brauktuves</t>
  </si>
  <si>
    <t>Pamatne betona bruģakmens segumam zem ietvēm, gājēju celiņiem, velo novietnes</t>
  </si>
  <si>
    <t>Dolomīta šķembu maisījuma izbūve 0/45h=20cm</t>
  </si>
  <si>
    <t>Smilts maisījums  h=3-5cm</t>
  </si>
  <si>
    <t>Salizturīgā dren.smilts slāņa kf=1m/dnn izbūve  h min=60 cm</t>
  </si>
  <si>
    <t>Ģeorežģa TENSAR TRIAX TX 160 ieklāšana</t>
  </si>
  <si>
    <t>Ģeotekstila NW15 ieklāšana</t>
  </si>
  <si>
    <t>Teritorija pie ielas</t>
  </si>
  <si>
    <t>Bortakmens demontāža t.sk. Transportēšana uz atbērtni</t>
  </si>
  <si>
    <t>Bruģa seguma demontāža t.sk. Transportēšana uz atbērtni</t>
  </si>
  <si>
    <t>Zemes darbi</t>
  </si>
  <si>
    <t>Pamati</t>
  </si>
  <si>
    <t>Sienas, nesošās konstrukcijas</t>
  </si>
  <si>
    <t>Pārsegums</t>
  </si>
  <si>
    <t>Jumti</t>
  </si>
  <si>
    <t>Kāpnes un lievenis</t>
  </si>
  <si>
    <t>Grīdas</t>
  </si>
  <si>
    <t>Ailu aizpildījuma elementi</t>
  </si>
  <si>
    <t>Iekšējie apdares darbi</t>
  </si>
  <si>
    <t>Fasāde</t>
  </si>
  <si>
    <t>Dažādi darbi</t>
  </si>
  <si>
    <t>BK</t>
  </si>
  <si>
    <t>Ēkas asu nospraušana, celtniecības ģeotehniskā uzraudzība</t>
  </si>
  <si>
    <t>Gruntsūdens pazemināšana</t>
  </si>
  <si>
    <t>Augsnes virskārtas u.c.noņemšana un aizvešana.</t>
  </si>
  <si>
    <t xml:space="preserve">Grunts rakšana ar mehanizēti iekraujot grunti automašīnā-pašizgāzējā </t>
  </si>
  <si>
    <t>Grunts rakšana ar rokām</t>
  </si>
  <si>
    <t>Būvbedres un tranšejas aizbēršana ar buldozeru ar pievesto smilti pamatiem ar blietēšanu</t>
  </si>
  <si>
    <t>Būvbedres un tranšejas aizbēršana ar rokām ar pievesto smilti pamatiem ar blietēšanu</t>
  </si>
  <si>
    <t xml:space="preserve">Liekās grunts aizvešana  </t>
  </si>
  <si>
    <t>Pāļi (BK-02)</t>
  </si>
  <si>
    <t>Pālu 300x300 ((300x300, betons C35/45 XC2, garenstiegrojums 4xØ20) izbūve vid.apm. h=16 m.Veikt  dzelzsbetona  pāļu  nestspējas  pārbaudi  uz  statisko  slodzi 12 testa pāļiem. Pāļu galu nociršana,stiegrojuma sagatavošana režģoga betonēšanai,būvgružu savākšana,aizvešana uz atbērtni. Tehnikas mobilizācija-demobilizācija.</t>
  </si>
  <si>
    <t>gab</t>
  </si>
  <si>
    <t>Režģogi (BK-03, BK-03.1 līdz BK-03.7)</t>
  </si>
  <si>
    <t>Režģogs R1 (9 gab.)</t>
  </si>
  <si>
    <t>Šķembu pamatojuma izveidošana, b=200</t>
  </si>
  <si>
    <t>Sagataves kārtas betonēšana, b=50</t>
  </si>
  <si>
    <t xml:space="preserve">  betons C12/15</t>
  </si>
  <si>
    <t xml:space="preserve">  sūknis</t>
  </si>
  <si>
    <t>h</t>
  </si>
  <si>
    <t>Inventāro veidņu uzstādīšana, eļļošana un nojaukšana, noma</t>
  </si>
  <si>
    <t xml:space="preserve">Armatūras sietu izgatavošana, uzstādīšana, fiksatoru uzstādīšana </t>
  </si>
  <si>
    <t>t</t>
  </si>
  <si>
    <t xml:space="preserve">  armatūra B500B</t>
  </si>
  <si>
    <t xml:space="preserve">  distanceri, armatūras sienamais materiāls, ieliekamās detaļas u.c. palīgmateriāli</t>
  </si>
  <si>
    <t>Enkuru ierīkošana (Peikko PPM 36P)</t>
  </si>
  <si>
    <t>Pamatu betonēšana, betons C35/45</t>
  </si>
  <si>
    <t xml:space="preserve">  betons C35/45</t>
  </si>
  <si>
    <t>Cementa bāzes hidroizolācijas ierīkošana</t>
  </si>
  <si>
    <t>Režģogs R1.1 (2 gab.)</t>
  </si>
  <si>
    <t>Enkuru ierīkošana (Peikko PPM 39P)</t>
  </si>
  <si>
    <t>Režģogs R2 (4 gab.)</t>
  </si>
  <si>
    <t>Režģogs R2.1 (2 gab.)</t>
  </si>
  <si>
    <t>Režģogs R3 (24 gab.)</t>
  </si>
  <si>
    <t>Režģogs R3.1 (8 gab.)</t>
  </si>
  <si>
    <t>Režģogs R4 (89 m.)</t>
  </si>
  <si>
    <t>Cokola sijas (BK-04)</t>
  </si>
  <si>
    <t>Cokola sijas betonēšana, betons C35/45</t>
  </si>
  <si>
    <t>1. un 2. stāva tērauda konstrukcijas (BK-05)</t>
  </si>
  <si>
    <t>Tērauda konstrukciju izgatavošana, piegāde, montāža</t>
  </si>
  <si>
    <t xml:space="preserve">  tērauda konstrukcijas apstrādātas atbilstoši BK norādījumiem</t>
  </si>
  <si>
    <t xml:space="preserve">  palīgmateriāli - uzgriežņi, paplāksnes, ķīmiskie enkuri u.c</t>
  </si>
  <si>
    <t>Ailu pārsedzes un monolītās joslas (BK-05)</t>
  </si>
  <si>
    <t>FIBO pārsedzes uzstādīšana (300x185x1490)</t>
  </si>
  <si>
    <t xml:space="preserve">Armatūras uzstādīšana, fiksatoru uzstādīšana </t>
  </si>
  <si>
    <t>Ailu pārsedžu un monolīto joslu betonēšana</t>
  </si>
  <si>
    <t xml:space="preserve">  betons C25/30</t>
  </si>
  <si>
    <t>Saliekamās dzelzsbetona kolonnas (BK-14, BK-14.1 līdz BK-14.3)</t>
  </si>
  <si>
    <t>Kolonnas DZK-1 izgatavošana un uzstādīšana (ieskaitot ieliekamās detaļas)</t>
  </si>
  <si>
    <t>Kolonnas DZK-2 izgatavošana un uzstādīšana (ieskaitot ieliekamās detaļas)</t>
  </si>
  <si>
    <t>Kolonnas DZK-3 izgatavošana un uzstādīšana (ieskaitot ieliekamās detaļas)</t>
  </si>
  <si>
    <t>Kolonnas DZK-4 izgatavošana un uzstādīšana (ieskaitot ieliekamās detaļas)</t>
  </si>
  <si>
    <t>Kolonnas DZK-5 izgatavošana un uzstādīšana (ieskaitot ieliekamās detaļas)</t>
  </si>
  <si>
    <t>Kolonnas DZK-6 izgatavošana un uzstādīšana (ieskaitot ieliekamās detaļas)</t>
  </si>
  <si>
    <t>Kolonnas DZK-7 izgatavošana un uzstādīšana (ieskaitot ieliekamās detaļas)</t>
  </si>
  <si>
    <t>Kolonnas DZK-8 izgatavošana un uzstādīšana (ieskaitot ieliekamās detaļas)</t>
  </si>
  <si>
    <t>Kolonnas DZK-11 izgatavošana un uzstādīšana (ieskaitot ieliekamās detaļas)</t>
  </si>
  <si>
    <t>Kolonnas DZK-12 izgatavošana un uzstādīšana (ieskaitot ieliekamās detaļas)</t>
  </si>
  <si>
    <t>Kolonnas DZK-13 izgatavošana un uzstādīšana (ieskaitot ieliekamās detaļas)</t>
  </si>
  <si>
    <t>Kolonnas DZK-14 izgatavošana un uzstādīšana (ieskaitot ieliekamās detaļas)</t>
  </si>
  <si>
    <t>Kolonnas DZK-15 izgatavošana un uzstādīšana (ieskaitot ieliekamās detaļas)</t>
  </si>
  <si>
    <t>Kolonnas DZK-16 izgatavošana un uzstādīšana (ieskaitot ieliekamās detaļas)</t>
  </si>
  <si>
    <t>Kolonnas DZK-17 izgatavošana un uzstādīšana (ieskaitot ieliekamās detaļas)</t>
  </si>
  <si>
    <t>Kolonnas DZK-18 izgatavošana un uzstādīšana (ieskaitot ieliekamās detaļas)</t>
  </si>
  <si>
    <t>Kolonnas DZK-19 izgatavošana un uzstādīšana (ieskaitot ieliekamās detaļas)</t>
  </si>
  <si>
    <t>Kolonnas DZK-20 izgatavošana un uzstādīšana (ieskaitot ieliekamās detaļas)</t>
  </si>
  <si>
    <t>Kolonnas DZK-21 izgatavošana un uzstādīšana (ieskaitot ieliekamās detaļas)</t>
  </si>
  <si>
    <t>Kolonnas DZK-22 izgatavošana un uzstādīšana (ieskaitot ieliekamās detaļas)</t>
  </si>
  <si>
    <t>Kolonnas DZK-22.1 izgatavošana un uzstādīšana (ieskaitot ieliekamās detaļas)</t>
  </si>
  <si>
    <t>Kolonnas DZK-23 izgatavošana un uzstādīšana (ieskaitot ieliekamās detaļas)</t>
  </si>
  <si>
    <t>Kolonnas DZK-24 izgatavošana un uzstādīšana (ieskaitot ieliekamās detaļas)</t>
  </si>
  <si>
    <t>Kolonnas DZK-25 izgatavošana un uzstādīšana (ieskaitot ieliekamās detaļas)</t>
  </si>
  <si>
    <t>Kolonnas DZK-26 izgatavošana un uzstādīšana (ieskaitot ieliekamās detaļas)</t>
  </si>
  <si>
    <t>Kolonnas DZK-27 izgatavošana un uzstādīšana (ieskaitot ieliekamās detaļas)</t>
  </si>
  <si>
    <t>Kolonnas DZK-28 izgatavošana un uzstādīšana (ieskaitot ieliekamās detaļas)</t>
  </si>
  <si>
    <t>Kolonnas DZK-29 izgatavošana un uzstādīšana (ieskaitot ieliekamās detaļas)</t>
  </si>
  <si>
    <t>Kolonnas DZK-30 izgatavošana un uzstādīšana (ieskaitot ieliekamās detaļas)</t>
  </si>
  <si>
    <t>Kolonnas DZK-31 izgatavošana un uzstādīšana (ieskaitot ieliekamās detaļas)</t>
  </si>
  <si>
    <t>Kolonnas DZK-32 izgatavošana un uzstādīšana (ieskaitot ieliekamās detaļas)</t>
  </si>
  <si>
    <t>Kolonnas DZK-33 izgatavošana un uzstādīšana (ieskaitot ieliekamās detaļas)</t>
  </si>
  <si>
    <t>Kolonnas DZK-34 izgatavošana un uzstādīšana (ieskaitot ieliekamās detaļas)</t>
  </si>
  <si>
    <t>Kolonnas DZK-35 izgatavošana un uzstādīšana (ieskaitot ieliekamās detaļas)</t>
  </si>
  <si>
    <t>Kolonnas DZK-37 izgatavošana un uzstādīšana (ieskaitot ieliekamās detaļas)</t>
  </si>
  <si>
    <t>Kolonnas DZK-38 izgatavošana un uzstādīšana (ieskaitot ieliekamās detaļas)</t>
  </si>
  <si>
    <t>Kolonnas DZK-39 izgatavošana un uzstādīšana (ieskaitot ieliekamās detaļas)</t>
  </si>
  <si>
    <t>Kolonnas DZK-40 izgatavošana un uzstādīšana (ieskaitot ieliekamās detaļas)</t>
  </si>
  <si>
    <t>Kolonnas DZK-41 izgatavošana un uzstādīšana (ieskaitot ieliekamās detaļas)</t>
  </si>
  <si>
    <t>Kolonnas DZK-41.1 izgatavošana un uzstādīšana (ieskaitot ieliekamās detaļas)</t>
  </si>
  <si>
    <t>Kolonnas DZK-42 izgatavošana un uzstādīšana (ieskaitot ieliekamās detaļas)</t>
  </si>
  <si>
    <t>Sijas S-101 izgatavošana un uzstādīšana (ieskaitot ieliekamās detaļas)</t>
  </si>
  <si>
    <t>Sijas S-102 izgatavošana un uzstādīšana (ieskaitot ieliekamās detaļas)</t>
  </si>
  <si>
    <t>Sijas S-103 izgatavošana un uzstādīšana (ieskaitot ieliekamās detaļas)</t>
  </si>
  <si>
    <t>Sijas S-104 izgatavošana un uzstādīšana (ieskaitot ieliekamās detaļas)</t>
  </si>
  <si>
    <t>Sijas S-105 izgatavošana un uzstādīšana (ieskaitot ieliekamās detaļas)</t>
  </si>
  <si>
    <t>AS1 , AS2</t>
  </si>
  <si>
    <t>Sastatņu uzstādīšana ,nojaukšana ieskaitot nomu(iekļaujot sastatņu aizsargsietu)</t>
  </si>
  <si>
    <t>Sienu sendviča tipa paneļa b=200 mm RUUKI SPB 200WE ENERGY montāža, tai skaitā visi papildelementi(stūri, cokola profili, ailu apdares elementi, skārda pieslēgumi, nosedzošie profili , stiprinājumi u.c.)</t>
  </si>
  <si>
    <t>Gipškartona starpsienu karkasa (75mm) izbūve. UW, CW profila metāla karkass 75 mm, Skrūves, stiprinājumi AS2</t>
  </si>
  <si>
    <t>Karkasu  apšūšana ar ģipškartonu (2kārtas) AS2</t>
  </si>
  <si>
    <t>Knauf skrūves TN 25 mm gara</t>
  </si>
  <si>
    <t>100gb</t>
  </si>
  <si>
    <t>Knauf skrūves TN 35 mm gara</t>
  </si>
  <si>
    <t>Ģipškartona plātne GKFI Knauf</t>
  </si>
  <si>
    <t>Sp1</t>
  </si>
  <si>
    <t>Sienu sendviča tipa paneļa b=160 mm ar akmens vates siltumizolāciju montāža, tai skaitā visi papildelementi(stūri, cokola profili, ailu apdares elementi, skārda pieslēgumi, nosedzošie profili , stiprinājumi u.c.)RUUKKI SPB 160 WEE ENERGY</t>
  </si>
  <si>
    <t>S1</t>
  </si>
  <si>
    <t>Sienu mūrēšana no FIBO 3 blokiem 300 mm</t>
  </si>
  <si>
    <t xml:space="preserve">FIBO 3 bloki 300mm </t>
  </si>
  <si>
    <t xml:space="preserve">Cementa java </t>
  </si>
  <si>
    <t xml:space="preserve">Stiegrojums FIBO </t>
  </si>
  <si>
    <t>S2</t>
  </si>
  <si>
    <t>Sienu mūrēšana no FIBO 3 blokiem 200 mm</t>
  </si>
  <si>
    <t xml:space="preserve">FIBO 3 bloki 200mm </t>
  </si>
  <si>
    <t>S3</t>
  </si>
  <si>
    <t>Gipškartona starpsienu karkasa (100mm) izbūve. UW, CW profila metāla karkass 100 mm, Skrūves, stiprinājumi,</t>
  </si>
  <si>
    <t>Akmens vates (PAROC ) iestrāde   karkasā siltuma / skaņas izolācijai</t>
  </si>
  <si>
    <t>Paroc EXTRA 100 mm</t>
  </si>
  <si>
    <t>Karkasu  apšūšana ar ģipškartonu (2kārtas)</t>
  </si>
  <si>
    <t>S4</t>
  </si>
  <si>
    <t>Ģipškartona plātne GKBI Knauf</t>
  </si>
  <si>
    <t>S5</t>
  </si>
  <si>
    <t>Gipškartona starpsienu karkasa (75mm) izbūve. UW, CW profila metāla karkass 75 mm, Skrūves, stiprinājumi,</t>
  </si>
  <si>
    <t>S6</t>
  </si>
  <si>
    <t>Gipškartona starpsienu karkasa (50mm) izbūve. UW, CW profila metāla karkass 50 mm, Skrūves, stiprinājumi,</t>
  </si>
  <si>
    <t>Karkasu  apšūšana ar   ģipškartonu  (1kārtas)</t>
  </si>
  <si>
    <t>WC starpsienas</t>
  </si>
  <si>
    <t>Saliekamo WC šķērssienu  montāža</t>
  </si>
  <si>
    <t xml:space="preserve">Laminēts  mitrumizturīgs  KSP, monolīts  lamināts, profillīstes  anodēts  alumīnijs, durvis, </t>
  </si>
  <si>
    <t>1. stāva pārsegums (BK-06 un BK-06.1)</t>
  </si>
  <si>
    <t>Saliekamā dzelzsbetona pārseguma paneļu HCS220 montāža</t>
  </si>
  <si>
    <t>Paneļu savienojošā stiegrojumna un enkurojuma uzstādīšana</t>
  </si>
  <si>
    <t>Starppaneļu šuvju un dobumu monolitizēšana</t>
  </si>
  <si>
    <t xml:space="preserve">Neopirēna lentas iebūve </t>
  </si>
  <si>
    <r>
      <t>Telfera  tērauda konstrukcijas</t>
    </r>
    <r>
      <rPr>
        <b/>
        <i/>
        <sz val="11"/>
        <color rgb="FFFF0000"/>
        <rFont val="Calibri"/>
        <family val="2"/>
        <scheme val="minor"/>
      </rPr>
      <t xml:space="preserve"> (BK-06.1)</t>
    </r>
  </si>
  <si>
    <t>Jumta augšējās un apakšējās saites un jumta sijas, BK-10</t>
  </si>
  <si>
    <t xml:space="preserve">  palīgmateriāli - uzgriežņi, paplāksnes u.c</t>
  </si>
  <si>
    <t>Jumta kopnes K-1, K-2, PK-1 (BK-9.1 līdz BK-9.4)</t>
  </si>
  <si>
    <t>AR</t>
  </si>
  <si>
    <t>Jumta nesošā profīla montāža</t>
  </si>
  <si>
    <t>Ruuki nesošais profils T153-40L-840</t>
  </si>
  <si>
    <t>Paļigmateriāli (skrūves u.c)</t>
  </si>
  <si>
    <t xml:space="preserve">Lēzeno jumtu  izolācija Paroc </t>
  </si>
  <si>
    <t>ROOFROCK 50 30mm</t>
  </si>
  <si>
    <t xml:space="preserve">Izolācijas plèves ieklâšana </t>
  </si>
  <si>
    <t>Paroc XMV 020 bas</t>
  </si>
  <si>
    <t>Siltumizolācijas ieklāšana,  dībeļošana</t>
  </si>
  <si>
    <t xml:space="preserve">ROOFROCK 30E  izol.mat. 250mm  </t>
  </si>
  <si>
    <t xml:space="preserve">Lēzeno jumtu virskārtas izolācija </t>
  </si>
  <si>
    <t>ROOFROCK 80 40mm</t>
  </si>
  <si>
    <t>Modificēta ruļveida seguma ieklāšana jumtam t.sk. karnīzes daļa</t>
  </si>
  <si>
    <t>Modificēta bitumena ruļļu seguma apakšklājs  , propāns, palīgiekārtas k=1,17</t>
  </si>
  <si>
    <t>Modificēta bitumena ruļļu seguma virsklājs , propāns, palīgiekārtas k=1,17</t>
  </si>
  <si>
    <t>Jumta kores izbūve</t>
  </si>
  <si>
    <t>Karnīzes izbūve saskaņā ar projektu (koka brusu karkass,apdares dēļu apšuvums,dēļu krāsojums, metāla leņķis 100x4 mm, palīgmateriāli)</t>
  </si>
  <si>
    <t>Aeratoru montāža</t>
  </si>
  <si>
    <t>Ūdens notekas , ūdens piltuves, veidgabali, stiprinājumi, palīgmateriāli</t>
  </si>
  <si>
    <t>Lietus ūdens teknes 150mm</t>
  </si>
  <si>
    <t>Ūdens teknes ,  veidgabali, stiprinājumi, palīgmateriāli</t>
  </si>
  <si>
    <t>Sniega barjeras RSSSB"</t>
  </si>
  <si>
    <t>Sniega barjeras, stiprinājumi, palīgmateriāli</t>
  </si>
  <si>
    <t>Skārda atloka montāža</t>
  </si>
  <si>
    <t>Jumta segums ar RUUKKI loksnēm. Valcprofils krāsots skārds, stiprinājumi. Gar asi 12</t>
  </si>
  <si>
    <t>Kāpnes K-1 22 koka pakāpieni, metāla konstrukcija</t>
  </si>
  <si>
    <t>Kāpnes K-2 22 saliekami dzelzsbetona pakāpieni, metāla nesošā konstrukcija</t>
  </si>
  <si>
    <t>Kāpnes K-3 izbūve metāla pakāpieni, nesoša metāla konstrukcija</t>
  </si>
  <si>
    <t>Kāpnes K-4 izbūve 19 pakāpieni, ārējās kāpnes</t>
  </si>
  <si>
    <t>Margu uzstādīšana kāpnēm</t>
  </si>
  <si>
    <t>Margu uzstādīšana 2. stāva norobežojošā  konstrukcija</t>
  </si>
  <si>
    <t>Grīdas (BK-04)</t>
  </si>
  <si>
    <t xml:space="preserve">Siltumizolācijas ierīkošana  </t>
  </si>
  <si>
    <t>Polistirols Tenapors EXTRA 80 mm</t>
  </si>
  <si>
    <t>Hidroizolācija no plēves</t>
  </si>
  <si>
    <t>Deformācijas šuves izbūve no akmens vates 20 mm</t>
  </si>
  <si>
    <t>Grīda uz pārseguma</t>
  </si>
  <si>
    <t xml:space="preserve">Paroc SSB 50mm </t>
  </si>
  <si>
    <t xml:space="preserve">Tvaika izolācija  </t>
  </si>
  <si>
    <t>Paroc XMV-01 vai ekvivalents</t>
  </si>
  <si>
    <t>Armatūras uzstādīšana</t>
  </si>
  <si>
    <t>Stiegrojuma siets - d.6 150x150 mm B500B</t>
  </si>
  <si>
    <t>distanceri, ieliekamās detaļas uc paligmateriāli</t>
  </si>
  <si>
    <t>Grīdas betonēšana, betons C25/30</t>
  </si>
  <si>
    <t>Grīdu apdare</t>
  </si>
  <si>
    <t>Virsmas cietinātāja un pretputekļu apstrāde</t>
  </si>
  <si>
    <t>Betona grīdu  slīpēšana G-5</t>
  </si>
  <si>
    <t xml:space="preserve">Grīdas izlīdzināšana ar Vetonit 5500 10 mm biezumā </t>
  </si>
  <si>
    <t xml:space="preserve">Vetonit 5500 Pamatlīdzinātājs betona grīdām </t>
  </si>
  <si>
    <t>kg</t>
  </si>
  <si>
    <t>Grīdas špaktelēšana ar Vetonit 3000 0-5 mm 3mm biezumā</t>
  </si>
  <si>
    <t xml:space="preserve">Vetonit 3000 Nobeiguma līdzinātājs </t>
  </si>
  <si>
    <t xml:space="preserve">Linoleja grīdu iesegšana </t>
  </si>
  <si>
    <t>ESD segums Polyflor Finesse EC5350       34/43, b=2mm R=9</t>
  </si>
  <si>
    <t>Linoleja līme</t>
  </si>
  <si>
    <t>Metināšana diegs</t>
  </si>
  <si>
    <t>linolejs Forbo Marmoleum 3886/3422/3416/3403 34/43 B=2.5mm, R=10</t>
  </si>
  <si>
    <t>vinila ruļļu segums Forbo Surestep Origina Dune 17121,  34/33 b=2.5mm R=10</t>
  </si>
  <si>
    <t>MDF grīdlīstes uzstādīšana</t>
  </si>
  <si>
    <t>Alumīnija  grīdlīstes  h=100 mm b=20 mm uzstādīšana</t>
  </si>
  <si>
    <t xml:space="preserve">Hidroizolācija no uzziežamas membrānas  </t>
  </si>
  <si>
    <t>Knauf Flaechendicht  Hidroizolācija</t>
  </si>
  <si>
    <t>Akmensmasas flīžu seguma ierīkošana</t>
  </si>
  <si>
    <t>Flīžu līme Atlas</t>
  </si>
  <si>
    <t>Šuvju mastika</t>
  </si>
  <si>
    <t>Dušu norobežojošā detaļa nerūsējoša tērauda T- profils iebūvēts zem flīzēm</t>
  </si>
  <si>
    <t>Kājslauķi</t>
  </si>
  <si>
    <t xml:space="preserve">Kājslauķa montāža </t>
  </si>
  <si>
    <t>Logu,vitrīnu.vārtu,ārdurvju  ailsānu apdare -pastiprināšana-U profīls 200 mm,stiprinājuma elementi,blīvējamais materiāls-silikons</t>
  </si>
  <si>
    <t>Logu montāža saskaņā ar AR 14</t>
  </si>
  <si>
    <t>L01  ( 1,1x1,1 m)</t>
  </si>
  <si>
    <t>LO1*  ( 1,1x1,1 m)</t>
  </si>
  <si>
    <t>L02  ( 2x1,1 m)</t>
  </si>
  <si>
    <t>L03  ( 6,55x1,1 m)</t>
  </si>
  <si>
    <t>L03*  ( 6,55x1,1 m)</t>
  </si>
  <si>
    <t>L04  ( 1,1x2,2 m)</t>
  </si>
  <si>
    <t>L04*  ( 1,1x2,2 m)</t>
  </si>
  <si>
    <t>L05  ( 4,4x2,2 m)</t>
  </si>
  <si>
    <t>Montāžas materiāli (blīvējošs materiāls, stiprinājumi u.c.)</t>
  </si>
  <si>
    <t>Iekšējo PVC palodžu montāža</t>
  </si>
  <si>
    <t>Alumīnija fasādes  Schuco FW 50+. SI montāža  saskaņā ar AR 13</t>
  </si>
  <si>
    <t>FS01  ( 7x7,76 m)</t>
  </si>
  <si>
    <t>FS02  ( 7x7,76 m)</t>
  </si>
  <si>
    <t>FS03  ( 7x7,63 m)</t>
  </si>
  <si>
    <t>FS04  ( 7x3,3 m)</t>
  </si>
  <si>
    <t>FS05  ( 7x3,3 m)</t>
  </si>
  <si>
    <t>Stikloto starpsienu montāža  saskaņā ar AR 15</t>
  </si>
  <si>
    <t>ST01  ( 2,38x2,1 m)</t>
  </si>
  <si>
    <t>ST02  ( 2,935x2,1 m)</t>
  </si>
  <si>
    <t>ST03  ( 2,6x2,1 m)</t>
  </si>
  <si>
    <t>ST04  ( 11,06x2,1 m)</t>
  </si>
  <si>
    <t>ST05  ( 4,06x2,1 m)</t>
  </si>
  <si>
    <t>ST06  ( 12,27x2,1 m)</t>
  </si>
  <si>
    <t>ST07  ( 7,92x2,1 m)</t>
  </si>
  <si>
    <t>ST08  ( 1,79x2,1 m)</t>
  </si>
  <si>
    <t xml:space="preserve">Iekšējo logu montāža saskaņā ar AR </t>
  </si>
  <si>
    <t>iL01  ( 3,96x1,3 m)</t>
  </si>
  <si>
    <t>iL02  ( 4,94x0,8 m)</t>
  </si>
  <si>
    <t>iL03  ( 3,96x0,9 m)</t>
  </si>
  <si>
    <t>iL04  ( 4,94x0,9 m)</t>
  </si>
  <si>
    <t>iL05  ( 2,98x1,2 m)</t>
  </si>
  <si>
    <t xml:space="preserve">Vārtu montāža saskaņā ar AR </t>
  </si>
  <si>
    <t>V01  ( 3,5x3,8 m)</t>
  </si>
  <si>
    <t>V01.1  ( 3,3x3,8 m)</t>
  </si>
  <si>
    <t>V02  ( 2,5x2,8 m)</t>
  </si>
  <si>
    <t>V03  ( 2,5x2,8 m)</t>
  </si>
  <si>
    <t xml:space="preserve">Ārdurvju montāža saskaņā ar AR </t>
  </si>
  <si>
    <t>AD01  ( 1,95x2,1 m)</t>
  </si>
  <si>
    <t>AD02  ( 1,55x2,1 m)</t>
  </si>
  <si>
    <t>AD03  ( 1,1x2,1 m)</t>
  </si>
  <si>
    <t>AD04  ( 1,28x2,1 m)</t>
  </si>
  <si>
    <t>D01  ( 1,95x2,1 m)</t>
  </si>
  <si>
    <t>D02  ( 1,95x2,1 m)</t>
  </si>
  <si>
    <t>D03  ( 1,55x2,1 m)</t>
  </si>
  <si>
    <t>D04  ( 0,98x2,1 m)</t>
  </si>
  <si>
    <t>D05  ( 1,08x2,1 m)</t>
  </si>
  <si>
    <t>D06  ( 2,08x2,1 m)</t>
  </si>
  <si>
    <t>D07  ( 2,08x2,4 m)</t>
  </si>
  <si>
    <t>D08  ( 2,08x2,4 m)</t>
  </si>
  <si>
    <t>D09  ( 2,7x2,4 m)</t>
  </si>
  <si>
    <t>D10  ( 1,08x2,1 m)</t>
  </si>
  <si>
    <t>D11  ( 1,08x2,1 m)</t>
  </si>
  <si>
    <t>D12  ( 1,08x2,1 m)</t>
  </si>
  <si>
    <t>D13  ( 0,88x2,1 m)</t>
  </si>
  <si>
    <t>D14  ( 1,08x2,1 m)</t>
  </si>
  <si>
    <t>D15  ( 0,88x2,1 m)</t>
  </si>
  <si>
    <t>D16  ( 1,08x2,1 m)</t>
  </si>
  <si>
    <t>D17  ( 1,08x2,1 m)</t>
  </si>
  <si>
    <t>D18  ( 1,08x2,1 m)</t>
  </si>
  <si>
    <t>D19  ( 0,98x2,1 m)</t>
  </si>
  <si>
    <t>D20  ( 1,08x2,1 m)</t>
  </si>
  <si>
    <t>D21  ( 1,08x2,1 m)</t>
  </si>
  <si>
    <t>D22  ( 0,78x2,1 m)</t>
  </si>
  <si>
    <t>D23  ( 1,08x2,1 m)</t>
  </si>
  <si>
    <t>D24  ( 1,28x2,1 m)</t>
  </si>
  <si>
    <t>D25  ( 0,88x1,85 m)</t>
  </si>
  <si>
    <t>Amoritizējošo dizūzijas lentu iebūve pa logu un ārduvju, vārtu perimetru (iekšējās un ārējās)</t>
  </si>
  <si>
    <t>Griesti</t>
  </si>
  <si>
    <t>Moduļveida minerālvates griesti Ecophone Opta 600x600   vai ekvivalents montāža</t>
  </si>
  <si>
    <t>Moduļveida minerālvates griesti Ecophone Focus E 600x600   vai ekvivalents montāža</t>
  </si>
  <si>
    <t>Moduļveida piekārtie griesti Ecophone Solo Circle diam. 1200 vai ekvivalents montāža</t>
  </si>
  <si>
    <t xml:space="preserve">Dzelzbetona konstruktīvie griesti jāizlīdzina ar bezsmilts apmetuma javu (ģipša)  </t>
  </si>
  <si>
    <t xml:space="preserve">Knauf sistēmas iekārto griestu metāla karkasa D113 ierīkošana </t>
  </si>
  <si>
    <t>Karkasu  apšūšana arģipškartonu (1kārta)</t>
  </si>
  <si>
    <t>Ģipškartona plātne GKB vai ekvivalents</t>
  </si>
  <si>
    <t>Knauf skrūves TN 25 mm gara vai ekvivalents</t>
  </si>
  <si>
    <t>Ģipškartona plātne GKBI vai ekvivalents</t>
  </si>
  <si>
    <t>Karkasu  apšūšana ar FIREBOARD (1kārta)</t>
  </si>
  <si>
    <t>Knauf Fireboard A1 vai ekvivalents</t>
  </si>
  <si>
    <t xml:space="preserve">Griestu špaktelēšana, slīpēšana   </t>
  </si>
  <si>
    <t>Tiefgrund LF  Dziļumgrunts vai ekvivalents</t>
  </si>
  <si>
    <t>VETONIT LR  špaktele vai ekvivalents</t>
  </si>
  <si>
    <t>Smilšpapīrs</t>
  </si>
  <si>
    <t xml:space="preserve">Sagatavotu griestu gruntēšana   </t>
  </si>
  <si>
    <t>Akrila grunts vai ekvivalents</t>
  </si>
  <si>
    <t xml:space="preserve">Sagatavotu griestu krāsošana  2k.  </t>
  </si>
  <si>
    <t>Akrila krāsa 20T vai ekvivalents</t>
  </si>
  <si>
    <t xml:space="preserve">Sagatavotu griestu krāsošana  2k.   </t>
  </si>
  <si>
    <t>Akrila krāsa 7T vai ekvivalents</t>
  </si>
  <si>
    <t>Riģipša lūku montāža piekārtos griestos</t>
  </si>
  <si>
    <t>Sienas</t>
  </si>
  <si>
    <t>Sienu apmetuma izveidošana 10 mm ar Rotband ieskaitot ailsānus</t>
  </si>
  <si>
    <t>Sienu špaktelēšana, slīpēšana   ieskaitot ailsānus</t>
  </si>
  <si>
    <t>Vetonit špaktele vai ekvivalents</t>
  </si>
  <si>
    <t>Sagatavotu sienu gruntēšana   ieskaitot ailsānus</t>
  </si>
  <si>
    <t>Sagatavotu sienu krāsošana  2kārtās   ieskaitot ailsānus</t>
  </si>
  <si>
    <t>Akrila krāsa vai ekvivalents</t>
  </si>
  <si>
    <t>Hidroizolācija no uzziežamas membrānas Knauf Flaechendicht vai ekvivalentss</t>
  </si>
  <si>
    <t xml:space="preserve">Sienu flīzēšana </t>
  </si>
  <si>
    <t>matētas flīzes 198x198mm Rako color one, RAL 0508010, 0858070, 0607050, 0506080 B=6.5mm</t>
  </si>
  <si>
    <t>Flīžu līme Atlas vai ekvivalents</t>
  </si>
  <si>
    <t>Šuvju mastika Mapei Ultracolor vai akvivalents</t>
  </si>
  <si>
    <t>Sienu flīzes glancētas flīzes 198x198mm Rako color one RAL 0508010, 0858070, 0607050,  0506080  B=6.5mm</t>
  </si>
  <si>
    <t>Šuvju mastika Atlas vai ekvivalents</t>
  </si>
  <si>
    <t>Cokols</t>
  </si>
  <si>
    <t xml:space="preserve">Ekstrudētā putupolistirola izolācija uz līmjavas </t>
  </si>
  <si>
    <t>DOW STYROFOAM 250 A-N 100mm</t>
  </si>
  <si>
    <t>Līmēšanas java SAKRET BK 25kg</t>
  </si>
  <si>
    <t xml:space="preserve">Dībelis </t>
  </si>
  <si>
    <t>Pamatu vertikālā hidroizolācija ar Mapelastic Smart</t>
  </si>
  <si>
    <t>Fasādes  gruntēšana</t>
  </si>
  <si>
    <t>Dziļumgrunts SAKRET TGW</t>
  </si>
  <si>
    <t>Armējošā sieta  iestrāde fasādei-cokolam</t>
  </si>
  <si>
    <t>Līmēšanas un armēšanas java SAKRET BAK pelēka</t>
  </si>
  <si>
    <t>Stiklašķiedras siets fasādei</t>
  </si>
  <si>
    <t>Fasādes-cokola  gruntēšana</t>
  </si>
  <si>
    <t>Gruntskrāsa SAKRET PG ( zem dekoratīvā apmetuma)</t>
  </si>
  <si>
    <t>Dekoratīvā apmetuma ierīkošana fasādei-cokolam</t>
  </si>
  <si>
    <t>Sakret dekoratīvais apmetums</t>
  </si>
  <si>
    <t>Cokola krāsošana ar gruntskrāsu</t>
  </si>
  <si>
    <t>Fasādei - Sakret FM primer</t>
  </si>
  <si>
    <t>Cokola krāsošana ar fasādes krāsu</t>
  </si>
  <si>
    <t>Sakret FC krāsa</t>
  </si>
  <si>
    <t>Novietnes pīe ēkas sienas ierīkošana asis 6-7/H</t>
  </si>
  <si>
    <t>Avārijapgaismes sistēma</t>
  </si>
  <si>
    <t>Avārijas gaismeklis LED 1W, izstiepts leņķis, D=100mm,H=37mm, 150lm, IP20, v/a, centrālai baterijas sistēmai</t>
  </si>
  <si>
    <t>Awex AXNU/6W/B/SE 6W</t>
  </si>
  <si>
    <t>Awex AXNR/6W/B/SE 6W</t>
  </si>
  <si>
    <t>Awex LV2U/3W-CB 3W</t>
  </si>
  <si>
    <t xml:space="preserve">Centrālā baterijas sistēma, komplektā ar kontoles un vadības ierīcēm.         Izmēri 472x266x140.    AC: 1-fāze 230V, 50/60 Hz , izejas spriegums 230 V AC un 216V DC, baterijas ietilpība 12Ah, IP20.   </t>
  </si>
  <si>
    <t>Reaktīvās jaudas kompensators 100kvAr, 50hz , 420V, apvienotā korpusā ar sadalni MS-1, kompletā ar vadību  ar Modbus TCP protokolu. komplektā ar automātiku pēc dotās shēmas</t>
  </si>
  <si>
    <t>Matētas akmens masas grīdas flīzes , Rako taurus color 07s Dark Grey 198x198 mm B=9mm R=10</t>
  </si>
  <si>
    <t>Antislip grīdas flīzes Rako taurus granit, 69 SR7 Rio Negro 198x198 mm B=9mm, R=11</t>
  </si>
  <si>
    <t>Moduļveida Moduļveida  griesti  Danoline Tectopanel Quadril 600x1200, gruntēti, krāsoti ar matētu akrila-lateksa krāsu (balta 7T) vai ekvivalents montāža</t>
  </si>
  <si>
    <t>Iekšdurvju montāža saskaņā ar AR -17</t>
  </si>
  <si>
    <t>MDF salokāmas durvis D-25 3,6x2,1m</t>
  </si>
  <si>
    <t>2,12</t>
  </si>
  <si>
    <t>BJZ Trīs stangu turnikets  ar kontrolleru un testa staciju</t>
  </si>
  <si>
    <t>BJZ Kontaktpaklājiņš</t>
  </si>
  <si>
    <t>BJZ PVC paklājiņš</t>
  </si>
  <si>
    <t>Metaliskie vārtiņi no nerūsējošā metāla</t>
  </si>
  <si>
    <t>Vārtiņu automātika</t>
  </si>
  <si>
    <t>Materiālu transporta izdevumi</t>
  </si>
  <si>
    <t>Piekļuves  kontrole un EDS sistēma</t>
  </si>
  <si>
    <t>Šķembu pamatojuma ierīkošana fr.20-40,blīvā veidā ,novibrējot</t>
  </si>
  <si>
    <t>Šķembu pamatojuma ierīkošana fr.0-45,blīvā veidā ,novibrējot</t>
  </si>
  <si>
    <t>Šķembu pamatojuma ierīkošana fr.0-63,blīvā veidā ,novibrējot</t>
  </si>
  <si>
    <t>Smilts pamatojuma ierīkošana fr.0-63,blīvā veidā ,novibrējot</t>
  </si>
  <si>
    <t>Ģeorežģa Tensar TRIAX ieklāšana</t>
  </si>
  <si>
    <t>Neaustais ģeotekstils NW15</t>
  </si>
  <si>
    <t>Primex Primexcomposite grīda t=120 mm</t>
  </si>
  <si>
    <t>Hilti HIT HY M16 l=150</t>
  </si>
  <si>
    <t>Hilti HIT HY M20 l=150</t>
  </si>
  <si>
    <t>1a</t>
  </si>
  <si>
    <t>1b</t>
  </si>
  <si>
    <t>Termoprofila montāža RUUKKI h=200 t=2,5</t>
  </si>
  <si>
    <t>Koka dēļa 43x145 mm  uzstādīšana</t>
  </si>
  <si>
    <t>Pamati nojumei (BK-016,17)</t>
  </si>
  <si>
    <t>Šķembu pamatojuma izveidošana,</t>
  </si>
  <si>
    <t xml:space="preserve">  betons C30/37</t>
  </si>
  <si>
    <t>Nojume asīs 12/A-F BK-16</t>
  </si>
  <si>
    <t>Jumta nesošo konstrukciju sagatavošana un montāža</t>
  </si>
  <si>
    <t>2a</t>
  </si>
  <si>
    <t>3a</t>
  </si>
  <si>
    <t>Hormann pārkraušanas mājiņa</t>
  </si>
  <si>
    <t>Hormann podests ar hidraulisko tiltu</t>
  </si>
  <si>
    <t>Šķembu pamatojuma izveidošana</t>
  </si>
  <si>
    <t>Pamatu betonēšana, betons C30/37</t>
  </si>
  <si>
    <t>Enkuru ierīkošana (Peikko HPM 20L)</t>
  </si>
  <si>
    <t>Kāpnes K-4SP1 , Sp2 pamats BK 16.5</t>
  </si>
  <si>
    <t>Kāpnes K-3SP1 , Sp2 pamats BK 16.4</t>
  </si>
  <si>
    <t>Kāpnes K-2 Sp2 pamats BK 16.3</t>
  </si>
  <si>
    <t>Kāpnes K-1 Sp2 pamats BK 16.2</t>
  </si>
  <si>
    <t>2,13</t>
  </si>
  <si>
    <t>VAS</t>
  </si>
  <si>
    <t>1.STĀVS</t>
  </si>
  <si>
    <t>Vadības sadalne</t>
  </si>
  <si>
    <t>Sadalne 800x1800x300
metāla, IP54, montāžas plate, slēdzene
kopējā jauda 6kW, 400VAC
Sadalnes apgaismojums, Rozetes uz DIN sliedes
Spēka ievada līnijas slēdzis
Akumulatoru bateriju k-ts 230VAC, 500VA
Vadības ķēžu aizsardzības automātslēdži
Transformators
Kontrolleru/ moduļu el.barošanas aizsardzības drošinātāji
Kontrolleru/ moduļu el.barošanas bloki
Motoru aizsardzības automātslēdži un kontaktori
Releju bloki ar LED moduli kontrolleru izejām
Klemmes, vadi, vadu marķēšana, vadu kanāli, montāžas palīgmateriāli
Kabeļu pieslēgumi caur klemmēm
Elektriskās principiālās shēmas</t>
  </si>
  <si>
    <t>Procesu kontrollers, modulārs/ BACnet/ IP</t>
  </si>
  <si>
    <t>Operatora panelis</t>
  </si>
  <si>
    <t>TX OPEN RS232/485 integrācijas modulis</t>
  </si>
  <si>
    <t>Tīkla barošanas modulis</t>
  </si>
  <si>
    <t>Tīkla komunikācijas modulis</t>
  </si>
  <si>
    <t>IO modulis, universāls, UI8</t>
  </si>
  <si>
    <t>IO modulis, digitāls, DI16</t>
  </si>
  <si>
    <t>IO modulis, releju izejas, RO6</t>
  </si>
  <si>
    <t>Vadāms Ethernet tīkla komutators, 8 RJ45 porti, 10/100 Mbps</t>
  </si>
  <si>
    <t>Modbus RS-485 / TCP/IP pārveidotājs</t>
  </si>
  <si>
    <t>Frekvenču pārveidotājs, 200-240V1AC, 47-63Hz, 0.75 kW, IP20, filtrs C1, BOP, Modbus RTU</t>
  </si>
  <si>
    <t>Kontrolleru programmēšanas darbi</t>
  </si>
  <si>
    <t>Operatora paneļa programmēšanas darbi</t>
  </si>
  <si>
    <t>PN iekārtu integrēšana</t>
  </si>
  <si>
    <t>Siltummezgla iekārtu integrēšana</t>
  </si>
  <si>
    <t>Aukstuma ražošanas iekārtas (Chiller) integrēšana</t>
  </si>
  <si>
    <t>Gisa mitruma sagatavošanas iekārtas integrēšana</t>
  </si>
  <si>
    <t>Centrālā akumulatoru bateriju sistēmas integrēšana</t>
  </si>
  <si>
    <t>Elektrības skaitītāju nolasīšana</t>
  </si>
  <si>
    <t>Lauka iekārtas</t>
  </si>
  <si>
    <t>Gaismas spilgtuma devējs, 20000 lux, 4-20mA</t>
  </si>
  <si>
    <t>Telpas temperatūras devējs, NTC 10k, 0...50 °C</t>
  </si>
  <si>
    <t>Gaisa temperatūras um mitruma devējs, −40...+70 °C, 0...100 % r. h., 0-10V un āra montāžas piederumi</t>
  </si>
  <si>
    <t>Gaisa temperatūras um mitruma devējs, −40...+70 °C, 0...100 % r. h., 4-20mA, displejs</t>
  </si>
  <si>
    <t>Rokas slēdzis ventilatoru ieslēgšanai</t>
  </si>
  <si>
    <t>Lauka iekārtu montāžas papildmateriāli</t>
  </si>
  <si>
    <t>Sadalne 600x800x250
metāla, IP54, montāžas plate, slēdzene, 
kopējā jauda 3kW, 230VAC
Sadalnes apgaismojums, Rozetes uz DIN sliedes
Spēka ievada līnijas slēdzis
Vadības ķēžu aizsardzības automātslēdži
Kontrolleru/ moduļu el.barošanas aizsardzības drošinātāji
Kontrolleru/ moduļu el.barošanas bloki
Releju bloki ar LED moduli kontrolleru izejām
Klemmes, vadi, vadu marķēšana, vadu kanāli, montāžas palīgmateriāli
Kabeļu pieslēgumi caur klemmēm
Elektriskās principiālās shēmas</t>
  </si>
  <si>
    <t>Programmējams kontrollers PFC200; FG2; 2x ETHERNET, RS-232/-485</t>
  </si>
  <si>
    <t>Barošanas modulis 24 VDC/ 230 VAC</t>
  </si>
  <si>
    <t>DALI Multi-Master komunikāciju modulis</t>
  </si>
  <si>
    <t>Barošanas modulis DC 18V/ 1.1A priekš 753-647 DALI</t>
  </si>
  <si>
    <t>Kopnes gala modulis</t>
  </si>
  <si>
    <t>8-kanālu digitālo ieeju modulis, 24 VDC, 3.0 ms</t>
  </si>
  <si>
    <t>Skārienjūtīgs vadības panelis,10.1" 800 x 480 TFT LCD, 128 MB flash memory, 128 MB DDR2 RAM, RS-485, Ethernet</t>
  </si>
  <si>
    <t>Vadības paneļa programmēšanas darbi</t>
  </si>
  <si>
    <t>KABEĻI</t>
  </si>
  <si>
    <t>Datu tīklu kabelis, monolīts, 23AWG, ekrāns folija, LSZH</t>
  </si>
  <si>
    <t>Kabelis, lokans, PVC, ekrāns pinums, 500 V</t>
  </si>
  <si>
    <t>Kabelis, monolīts, PVC, 500 V</t>
  </si>
  <si>
    <t>Kabelis, lokans, PVC, 600 V</t>
  </si>
  <si>
    <t>Kabelis, lokans, PVC, 500 V, ekrāns pinums</t>
  </si>
  <si>
    <t>Plastmasas caurules ar vidēju mehānisko izturību (ar montāžas palīgmateriāliem)</t>
  </si>
  <si>
    <t>Gofrētas caurules ar vidēju mehānisko izturību (ar montāžas palīgmateriāliem)</t>
  </si>
  <si>
    <t>Plastmasas kabeļu kanāli (ar montāžas palīgmateriāliem)</t>
  </si>
  <si>
    <t>Plastmasas caurules, āra izpildījuma, UV noturīgas (ar montāžas palīgmateriāliem)</t>
  </si>
  <si>
    <t>Metāla profili kabeļu instalācijai</t>
  </si>
  <si>
    <t>Kabeļu plaukts, 60x200 mm (ar montāžas palīgmateriāliem)</t>
  </si>
  <si>
    <t>Savienojumu kārbas</t>
  </si>
  <si>
    <t>Kabeļu montāžas papildmateriāli</t>
  </si>
  <si>
    <t>Kabeļu marķēšanas materiāli (plastikāta)</t>
  </si>
  <si>
    <t>Iekārtu marķēšanas materiāli (plastikāta)</t>
  </si>
  <si>
    <t>VIZUALIZĀCIJAS PROGRAMMATŪRA</t>
  </si>
  <si>
    <t>Sistēmas vizualizācijas, uzraudzības, vadības un datu apkopošanas programmatūras licences, 
1000 datu punkti,
WEB balstīta, grafiskais pārlūks, kļūmju pārlūks, darbību reģists, datu līkņu pārlūks, datu arhivācija, 
avāriju signālu izsūtīšana uz e-pastiem,
Energo uzskaite un pārvaldība,
3 vienlaicīgi lietotāji</t>
  </si>
  <si>
    <t>Sistēmas vizualizācijas, uzraudzības, vadības un datu apkopošanas programmatūras izstrāde</t>
  </si>
  <si>
    <t>19" statnē montējams serveris:
Serveris: Core I7, CPU 3.0GHz, RAM 16GB, Memory SSD RAID 2x500GB, Operating System: Windows 10, 64-bit Windows 8.1 Enterprise, 2012 R2 Standard, RHEL-7, Pilna laika liela ātruma ISP savienojums; papildus materiāli; UPS bloks</t>
  </si>
  <si>
    <t>Montāžas materiāli, programmēšana</t>
  </si>
  <si>
    <t>Sienu šķērsojumi, urbšana</t>
  </si>
  <si>
    <t>Ugunsdrošais materiāls sienu šķērsojumu aizpildīšanai</t>
  </si>
  <si>
    <t>Sistēmas ieregulēšana un palaišana</t>
  </si>
  <si>
    <t>Personāla apmācība</t>
  </si>
  <si>
    <t>Izpilddokumentācija</t>
  </si>
  <si>
    <t>800x1800x300</t>
  </si>
  <si>
    <t>PXC200-E.D</t>
  </si>
  <si>
    <t>PXM20-E</t>
  </si>
  <si>
    <t>TXI1.OPEN</t>
  </si>
  <si>
    <t>TXS1.12F10</t>
  </si>
  <si>
    <t>TXS1.EF10</t>
  </si>
  <si>
    <t>TXM1.8U</t>
  </si>
  <si>
    <t>TXM1.16D</t>
  </si>
  <si>
    <t>TXM1.6R</t>
  </si>
  <si>
    <t>FL SWITCH 2208</t>
  </si>
  <si>
    <t>EDW100</t>
  </si>
  <si>
    <t>6SL3210-5BB17-5BV1</t>
  </si>
  <si>
    <t>LLO/20k</t>
  </si>
  <si>
    <t>QAA2030</t>
  </si>
  <si>
    <t>QFA3160 + AQF3100</t>
  </si>
  <si>
    <t>QFA3171D</t>
  </si>
  <si>
    <t>600x800x250</t>
  </si>
  <si>
    <t>750-8202/000-012</t>
  </si>
  <si>
    <t>750-602</t>
  </si>
  <si>
    <t>753-647</t>
  </si>
  <si>
    <t>787-1007</t>
  </si>
  <si>
    <t>750-600</t>
  </si>
  <si>
    <t>750-430</t>
  </si>
  <si>
    <t>MT8100iE</t>
  </si>
  <si>
    <t>Cat5e F/UTP</t>
  </si>
  <si>
    <t>Cat6 F/UTP</t>
  </si>
  <si>
    <t>LiYCY 4x0,75</t>
  </si>
  <si>
    <t>NYM-J 3x1,5</t>
  </si>
  <si>
    <t>Y-OZ 2x0,75</t>
  </si>
  <si>
    <t>Y-OZ 2x1,5</t>
  </si>
  <si>
    <t>Y-OZ 4x0,75</t>
  </si>
  <si>
    <t>Y-OZ 4x1,5</t>
  </si>
  <si>
    <t>Y-OZ 5x0,75</t>
  </si>
  <si>
    <t>YSLYCY-JZ 3x2,5</t>
  </si>
  <si>
    <t>EVOEL SM</t>
  </si>
  <si>
    <t>EVOEL FM</t>
  </si>
  <si>
    <t>MEKA KS20-200</t>
  </si>
  <si>
    <t>DESIGO CC</t>
  </si>
  <si>
    <t>Paroc EXTRA 50 mm</t>
  </si>
  <si>
    <t>Konstrukciju betonēšana</t>
  </si>
  <si>
    <t xml:space="preserve">  betons C40/50</t>
  </si>
  <si>
    <t>5a</t>
  </si>
  <si>
    <t>5b</t>
  </si>
  <si>
    <t>Lietus ūdens notekas 150mm</t>
  </si>
  <si>
    <t>Jumta kāpnes h=9m montāža</t>
  </si>
  <si>
    <t>Jumta lūkas 0,6x0,9m montāža t.sk. Pieslēgumi</t>
  </si>
  <si>
    <t>FG CAIRplus 128.128</t>
  </si>
  <si>
    <t>FG CAIRplus 096.096</t>
  </si>
  <si>
    <t>FG CAIRplus 252.128</t>
  </si>
  <si>
    <t>FG CAIRplus 188.128</t>
  </si>
  <si>
    <t>Pamatne betona bruģakmens segumam zem stāvvietas</t>
  </si>
  <si>
    <t>Salizturīgā dren.smilts slāņa kf=1m/dnn izbūve  h min=50 cm</t>
  </si>
  <si>
    <t>Dolomīta šķembu maisījuma izbūve 0/65h=35cm</t>
  </si>
  <si>
    <t>Dolomīta šķembu maisījuma izbūve 0/65h=20cm</t>
  </si>
  <si>
    <t>Slīpo ceļa apmaļu komplekts (1 labā + 1 kreisā) BR100.30/22.15</t>
  </si>
  <si>
    <t>Velostatīva Pusloka SIA Uhh Design velosipēdiem uzstādīšana</t>
  </si>
  <si>
    <t>Bīdamo vārtu izbūve ar automātiku 6,3x1,5 m</t>
  </si>
  <si>
    <t>Vārtu izbūve     5,1x1,5m ar automātiku</t>
  </si>
  <si>
    <t>Vārtiņu izbūve  2x1,2 m</t>
  </si>
  <si>
    <t>BK-16,2</t>
  </si>
  <si>
    <t>Konstrukciju betonēšana, betons C35/45</t>
  </si>
  <si>
    <t>Konstrukciju betonēšana, betons C30/37</t>
  </si>
  <si>
    <t>Koka pakāpieni 1400x300 mm</t>
  </si>
  <si>
    <t>BK-16,3</t>
  </si>
  <si>
    <t>Saliekami dzelzsbetona pakāpieni 270x1300x180 mm</t>
  </si>
  <si>
    <t>BK-16,4</t>
  </si>
  <si>
    <t>Weland pakāpieni TH6 1200x250 mm</t>
  </si>
  <si>
    <t>Weland pakāpieni TH6 1200x260 mm</t>
  </si>
  <si>
    <t>C11-500-400</t>
  </si>
  <si>
    <t>C22-500-1100</t>
  </si>
  <si>
    <t>750W</t>
  </si>
  <si>
    <t>200W</t>
  </si>
  <si>
    <t>Gaisa pūtējs komplektā ar stiprinājumiem, vadības bloku un automātiku</t>
  </si>
  <si>
    <t>SWS12</t>
  </si>
  <si>
    <t>Gaisa pūtēju apsaistes komplekts ( Bypass vārsts BPV10; vārsts ar elektrisko piedziņu TBVC20 + SD230; lodveida ventilis AV 20)</t>
  </si>
  <si>
    <t>VOS 20</t>
  </si>
  <si>
    <t xml:space="preserve">ALPHA2 25-40 130 </t>
  </si>
  <si>
    <t>Dn15 Kvs=2.5</t>
  </si>
  <si>
    <t>Gaisa apstrādes agregāts "PN-1"; Pieplūdes ventilators: L=8980m³/h; H=280Pa; Nosūces ventilators: L=7540m³/h; H=280Pa;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</si>
  <si>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Gaisa apstrādes agregāts "PN-2"; Pieplūdes ventilators: L=5050m³/h; H=260Pa; Nosūces ventilators: L=5040m³/h; H=200Pa;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</si>
  <si>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Gaisa apstrādes agregāts "PN-3"; Pieplūdes ventilators: L=22440m³/h; H=310Pa; Nosūces ventilators: L=22400m³/h;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</si>
  <si>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Gaisa apstrādes agregāts "PN-4"; Pieplūdes ventilators: L=15670m³/h; H=310Pa; Nosūces ventilators: L=15760m³/h;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</si>
  <si>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300x100</t>
  </si>
  <si>
    <t>500x300</t>
  </si>
  <si>
    <t>800x500</t>
  </si>
  <si>
    <t>900x600</t>
  </si>
  <si>
    <t>900x900</t>
  </si>
  <si>
    <t>1200x600</t>
  </si>
  <si>
    <t>1200x1200</t>
  </si>
  <si>
    <t>1800x600</t>
  </si>
  <si>
    <t>1800x1200</t>
  </si>
  <si>
    <t>2500x600</t>
  </si>
  <si>
    <t>2500x800</t>
  </si>
  <si>
    <t>2500x1200</t>
  </si>
  <si>
    <t>TRB-315(C)</t>
  </si>
  <si>
    <t>TRB-400(C)</t>
  </si>
  <si>
    <t xml:space="preserve">Tekstila difuzors C800/32000 FB M/NMS-2/LG </t>
  </si>
  <si>
    <t>Tekstila difuzors C400/17000 FB/NMS-2/LG</t>
  </si>
  <si>
    <t>SV-1-300-100</t>
  </si>
  <si>
    <t>SV-1-500-300</t>
  </si>
  <si>
    <t>SV-1-800-500</t>
  </si>
  <si>
    <t>USS/I-900-600</t>
  </si>
  <si>
    <t>1100x800</t>
  </si>
  <si>
    <t>1400x800</t>
  </si>
  <si>
    <t>PTS/B-400</t>
  </si>
  <si>
    <t>PTS/B-500</t>
  </si>
  <si>
    <t>UTK/C-400-400-400</t>
  </si>
  <si>
    <t>UTK/C-500-500-500</t>
  </si>
  <si>
    <t>UTK/R-500x300</t>
  </si>
  <si>
    <t>FD-300x100</t>
  </si>
  <si>
    <t>FD-800x500</t>
  </si>
  <si>
    <t>FD-900x900</t>
  </si>
  <si>
    <t>FD-600-600-630</t>
  </si>
  <si>
    <t>FD-800-800-800</t>
  </si>
  <si>
    <t>FD-1900x1000</t>
  </si>
  <si>
    <t>SLBGU 500 1500 100</t>
  </si>
  <si>
    <t>SLBGU 630 1500 100</t>
  </si>
  <si>
    <t>SLCU 200 1200 100</t>
  </si>
  <si>
    <t>Dzesēšanas čillers komplektā ar hidromoduli, akumulācijas tvertni, free cooling funkciju un iekārtas automātika ar Modbus TCP/IP vai Bacnet IP savienojumu.</t>
  </si>
  <si>
    <t>GLAC4141CD2.HE</t>
  </si>
  <si>
    <t>Spilt sistēmas āra un iekšas bloks komplektā ar stiprinājumiem un iekārtas automātika ar Modbus TCP/IP vai Bacnet IP savienojumu</t>
  </si>
  <si>
    <t>STAD Dn25 Kvs=8.7</t>
  </si>
  <si>
    <t>STAF Dn80 Kvs=120</t>
  </si>
  <si>
    <t>42x19mm</t>
  </si>
  <si>
    <t>Vadības kabeļi mitrināšanas vārstiem un devējiem</t>
  </si>
  <si>
    <t>3000L</t>
  </si>
  <si>
    <t>Sadalne.v/a., IP31, rūpnieciski komplektējama līdz 400A, 420/240V IK08, 50hz,  montāžai pie sienas.  Ikm3&lt; 10kA, Ikm1&lt; 5kA  Metāla korpuss.  komplektā ar automātiku pēc dotās shēmas</t>
  </si>
  <si>
    <t>Gaismeklis LED 31W, 1500x88x77mm, 5700lm, v/a, IP 66,IK 04  4000K, 122.56 lm/W, TRILUX Olexeon 1200 B 4000-840 ET, kalpošanas laiks &gt;50 000H, garantija 5gadi, L80B10, CRI&gt;80, vai ekvivalents</t>
  </si>
  <si>
    <t xml:space="preserve">Fasādes gaismeklis LED 28W, D=154mm, H=176 2951lm, v/a, IP 65, IK 07  4000K, 160 lm/W, WEEF DAC220 [B] LED 134-1424 vai ekvivalents, iebūvēts jumta konstrukcijā
</t>
  </si>
  <si>
    <t xml:space="preserve">Fasādes gaismeklis LED 32W, 265x210x65mm,3500lm, v/a, IP 65, IK 10  4000K, 110 lm/W, TRILUX Combial 20-RB8R/3500-740 1G1W 32 W vai ekvivalents 6959840
</t>
  </si>
  <si>
    <t xml:space="preserve">Fasādes gaismeklis LED 15W, D=263mm, H=100mm, 1970lm, v/a, IP 55, IK 10  4000K, WEEF  DLS229 LED-FT 195-9527 vai ekvivalents
</t>
  </si>
  <si>
    <t xml:space="preserve">Fasādes gaismeklis LED 28W, 220x150x260mm, 2952lm, v/a, IP 66, IK 07  3000K,  WEEF SLS420 [E/M]  131-9544 vai ekvivalents
</t>
  </si>
  <si>
    <t xml:space="preserve">Fasādes gaismeklis LED 15W, 220x150x260mm, 1476lm, v/a, IP 66, IK 07  3000K,  WEEF SLS420 [E]  131-9534 vai ekvivalents
</t>
  </si>
  <si>
    <t xml:space="preserve">Fasādes gaismeklis LED 15W, 220x150x260mm, 1476lm, v/a, IP 66, IK 07  3000K,  WEEF SLS420 [M]  131-9533 vai ekvivalents
</t>
  </si>
  <si>
    <t xml:space="preserve"> Pārslēdzis 10A, z.a. ar kārbu IP 44</t>
  </si>
  <si>
    <t>Kabelis NYY-J 5x35</t>
  </si>
  <si>
    <t>Kabelis NHXH-J E90-2x1.5</t>
  </si>
  <si>
    <t>Kontaktligzda ar zem.,16A,v.a, L+N+PE, ar kārbu IP44.</t>
  </si>
  <si>
    <t>Termoregulātors v/a IP44</t>
  </si>
  <si>
    <t xml:space="preserve"> Kabeļu renes ugunsdroša Pagrieziens  60x60</t>
  </si>
  <si>
    <t>Cinkota gaismas renes Pagrieziens 60x70</t>
  </si>
  <si>
    <t>Cinkota gaismas trepe Pagrieziens 60x60</t>
  </si>
  <si>
    <t>Cinkotas kabeļu trepes pagrieziens 500/300</t>
  </si>
  <si>
    <t>Dalīta gala apdare ar līmi SEH5 5x15-59mm; 5x4-70mm²</t>
  </si>
  <si>
    <t>Dalīta gala apdare ar līmi SEH5 5x100...42mml 5x95...240mm²</t>
  </si>
  <si>
    <t>Zibensuztvērējstienis, izolēts , ar kronšteinu bitumena jumta, līdz 2m</t>
  </si>
  <si>
    <t>Ierakstīšanas ierīce,  software</t>
  </si>
  <si>
    <t>Luxriot Enterprise</t>
  </si>
  <si>
    <t xml:space="preserve">LED monitors 27" </t>
  </si>
  <si>
    <t>Samsung</t>
  </si>
  <si>
    <t>piegādā un uzstāda pasūtītājs</t>
  </si>
  <si>
    <t>675,4</t>
  </si>
  <si>
    <t>rullis</t>
  </si>
  <si>
    <t>Zemējuma ierīkošana</t>
  </si>
  <si>
    <t>Tranšeja horizontālam zemēšanas kontūram</t>
  </si>
  <si>
    <t>Horizontālā zemētāja montāža tranšejā</t>
  </si>
  <si>
    <t>Kabeļu ieeju noblīvēšana</t>
  </si>
  <si>
    <t>Horizontālā zemētāja montāža telpās</t>
  </si>
  <si>
    <t>40</t>
  </si>
  <si>
    <t>Vertikālā zemētāja dziļumā  līdz 5 m montāža</t>
  </si>
  <si>
    <t>16</t>
  </si>
  <si>
    <t>Zemējuma vads H07V-K 1x185mm</t>
  </si>
  <si>
    <t>Kabeļu aizsardzības caurule d=110, zemē guldāmā, 1250N</t>
  </si>
  <si>
    <t>0,4kV KL</t>
  </si>
  <si>
    <t>Tranšejas rakšana un aizbēršana viena līdz divu kabeļu (caurules) gūldīšanai 0.7m dziļumā</t>
  </si>
  <si>
    <t>Tranšejas rakšana un aizbēršana piecu līdz astoņu kabeļu (caurules) gūldīšanai 0.7m dziļumā</t>
  </si>
  <si>
    <t>Tranšejas rakšana un aizbēršana viena līdz divu kabeļu (caurules) gūldīšanai 1m dziļumā</t>
  </si>
  <si>
    <t>Tranšejas rakšana un aizbēršana piecu līdz astoņu kabeļu (caurules) gūldīšanai 1m dziļumā</t>
  </si>
  <si>
    <t>Kabeļu aizsargcaurules d=līdz 110 mm ieguldīšana gatavā tranšejā</t>
  </si>
  <si>
    <t>ZS kabeļa līdz 35 mm2 ieguldīšana gatavā tranšejā</t>
  </si>
  <si>
    <t>ZS kabeļa līdz 35 mm2 ievēršana caurulē</t>
  </si>
  <si>
    <t>ZS kabeļa 185 mm2 un lielāka ieguldīšana gatavā tranšejā</t>
  </si>
  <si>
    <t>ZS kabeļa 185 mm2 un lielāka ievēršana caurulē</t>
  </si>
  <si>
    <t>ZS kabeļa 185 mm2 un lielāka gala apdare</t>
  </si>
  <si>
    <t>Kabelis NYY-J 4x240mm2 6/1kV</t>
  </si>
  <si>
    <t>Kabelis NYY-J 3x2.5mm2 6/1kV</t>
  </si>
  <si>
    <t>Kabeļu aizsardzības caurule d=110, zemē guldāmā, 1250N Evocab super HARD</t>
  </si>
  <si>
    <t>80</t>
  </si>
  <si>
    <t>Kabeļu aizsardzības caurule d=75, zemē guldāmā, 750N Evocab super HARD</t>
  </si>
  <si>
    <t>35</t>
  </si>
  <si>
    <t>Kabeļu aizsardzības caurule d=110, zemē guldāmā, 750N Evocab r HARD</t>
  </si>
  <si>
    <t>109</t>
  </si>
  <si>
    <t>Dalīta gala apdare ar līmi SEH4 4x95-36mm; 4x120-300mm²</t>
  </si>
  <si>
    <t>12</t>
  </si>
  <si>
    <t>Palīgmateriāli (Savienojumi, stiprinājumi, u.c)</t>
  </si>
  <si>
    <t>Brīdinājuma lenta KABELIS 1kV</t>
  </si>
  <si>
    <t>Citi darbi</t>
  </si>
  <si>
    <t>ZS kabeļa pārbaude ar paaugstinātu spriegumu</t>
  </si>
  <si>
    <t>Slodzes un sprieguma mērīšana</t>
  </si>
  <si>
    <t xml:space="preserve"> pievien.</t>
  </si>
  <si>
    <t>EPL vai sarkanās līnijas nospraušana</t>
  </si>
  <si>
    <t>km</t>
  </si>
  <si>
    <t>EPL digitālā uzmērīšana</t>
  </si>
  <si>
    <t>Rakšanas atļaujas saņemšana</t>
  </si>
  <si>
    <t>objekts</t>
  </si>
  <si>
    <t>Ražošanas izmaksas par darba organizāciju un pielaišanu pie darba</t>
  </si>
  <si>
    <t>Nodeva par Būvatļaujas nodošanu</t>
  </si>
  <si>
    <t>Kolonnas DZK-22.2 izgatavošana un uzstādīšana (ieskaitot ieliekamās detaļas)</t>
  </si>
  <si>
    <t>Kolonnas DZK-8.1 izgatavošana un uzstādīšana (ieskaitot ieliekamās detaļas)</t>
  </si>
  <si>
    <t>Kolonnas DZK-8.2 izgatavošana un uzstādīšana (ieskaitot ieliekamās detaļas)</t>
  </si>
  <si>
    <t>Smilts pamatojuma izveidošana</t>
  </si>
  <si>
    <t>Pamatu betonēšana</t>
  </si>
  <si>
    <t>Pamatu plātne papīra presei BK 16,6</t>
  </si>
  <si>
    <t>Pamatu plātne tehnoloģiskai iekārtai BK 16,7</t>
  </si>
  <si>
    <t xml:space="preserve">  betons C25/30 XC2 XF3</t>
  </si>
  <si>
    <t>Stūru aizsardzības līstes uzstādīšana</t>
  </si>
  <si>
    <t>3,7</t>
  </si>
  <si>
    <t>10kV KL izbūve</t>
  </si>
  <si>
    <t>Tranšeja - bedre kabeļa vai citu apakšzemes komunikāciju apsekošanai (šurfēšana)</t>
  </si>
  <si>
    <t>Tranšeja - bedre VS uzmavām</t>
  </si>
  <si>
    <t>Tranšejas rakšana un aizbēršana trīs līdz četru kabeļu (caurules) gūldīšanai 0.7m dziļumā</t>
  </si>
  <si>
    <t>Tranšejas rakšana un aizbēršana trīs līdz četru kabeļu (caurules) gūldīšanai 1m dziļumā</t>
  </si>
  <si>
    <t>Kabeļa mehāniskā aizsarzība ar lentveida vai rievzobu profiliem</t>
  </si>
  <si>
    <t>Kabeļu aizsargcaurules d=125 līdz 160 mm ieguldīšana gatavā tranšejā</t>
  </si>
  <si>
    <t>Kabeļu aizsargcaurules d=līdz 160 mm montāža</t>
  </si>
  <si>
    <t>VS 3 dzīslu kabeļa 120 - 240 mm2 montāža uz plauktiem, kabeļu tuneļos, kanālos</t>
  </si>
  <si>
    <t>VS 3 dzīslu kabeļa 120 - 240 mm2 ieguldīšana gatavā tranšejā</t>
  </si>
  <si>
    <t>VS 3 dzīslu kabeļa 120 - 240 mm2 montāža caurulē</t>
  </si>
  <si>
    <t>VS 3 dzīslu plastmasas izolācijas kabeļa no 120 mm2  gala apdare</t>
  </si>
  <si>
    <t>VS 3 dzīslu plastmasas izolācijas kabeļa no 120 mm2  savienošanas uzmavas montāža</t>
  </si>
  <si>
    <t>Kabelis AHXCMK-WTC 3x240Al/35Cu</t>
  </si>
  <si>
    <t>Optiskais kabelis 12/12 škiedras Single mode ārdarbu CTC 1X12 SM</t>
  </si>
  <si>
    <t>10kV savienošanas uzmava POLJ 24/3x120-240+ SMOE62800</t>
  </si>
  <si>
    <t>Signāllenta kabeļlīnijai, platums 125 mm</t>
  </si>
  <si>
    <t>Kabeļu aizsargprofils L 125/50(ar noloc.malām) GR0914.001</t>
  </si>
  <si>
    <t xml:space="preserve">RSTI-5854 kabeļa adapteris
</t>
  </si>
  <si>
    <t>Telekomunikāciju caurule D=110mm 750N 6m/456m pelēka EVOTEL</t>
  </si>
  <si>
    <t xml:space="preserve">Caurule D-160 zemē guldāma 750N,  </t>
  </si>
  <si>
    <t xml:space="preserve">Caurule D-160 zemē guldāma 450N, gofrētā, lokanā </t>
  </si>
  <si>
    <t xml:space="preserve">Caurule D-110 zemē guldāma 450N, gofrētā, lokanā </t>
  </si>
  <si>
    <t>KTA izbūve</t>
  </si>
  <si>
    <t>Būvbedre pamatnes konteinera tipa sadalēm. piem. KTAb, KTAm u.c.</t>
  </si>
  <si>
    <t xml:space="preserve"> m2</t>
  </si>
  <si>
    <t>Bruģa (flizes) klājuma  ieklāšana</t>
  </si>
  <si>
    <t>Vertikālā zemētāja dziļumā  līdz 10 m montāža</t>
  </si>
  <si>
    <t>Kompaktās TA (ar 2 transformatoriem) uzstādīšana gatavā būvbedrē</t>
  </si>
  <si>
    <t>Transformatora ar jaudu no 630 kVA montāža KTA</t>
  </si>
  <si>
    <t>Rūpnieciski komplektējama KTAb-(8126), kas sastāv no apakšstacijas korpusa KTAb-8126 -iekšapkalpes, 10kV slēgiekārtas CCCCF+SICCCC+F-12kV ar drošinātājiem 80A F sekcijās, ar motoriem 24VDC "C" sekcijās, 10kV kabeļu saitēm starp transformatoriem 630KVA, 0.4kV ZS sadalnēm saskaņā ar principiālo shēmu ELT-3, komplektā ar industriāliem automātslēdžiem masterpact MTZ-1-08H1 un Compact NSX 160B vai ekvalilentiem, strāvmaiņiem 800/5A 3gab, ar uzskaites mezglu un el. enerģijas skaitītāju, Zemsprieguma kabeļu saiti starp transformatoriem KSA 1000A un 0.4kV sadalni KS-1 un KS-1, pārslēdzi starp KS-1 un KS-2, Pašpatēriņu saskaņā ar shēmu, apgaismojums, transformators, gaisa ventilatori, u.c, KtAb iekšējā kondicionēšanas iekārta, DC iekārta 24V DC kompletā ar vadības un automātikas ierīcēm.</t>
  </si>
  <si>
    <t>Sausā tipa transformators  - 630 kVA - 10000 V / 420 V - Ao-Ak slēguma grupa Dyn-11 , atbilstoši EN 50588-1  C3, E3, F1, Termiskās izurības klaseF
Maksimālā apkārtējās vides temperatūra. 40 °C
Minimālā apkārtējās vides temperatūra .................................... -25 °C
Darba temperatūra : ........................................... 30 °C Schnieder elctric Trihal</t>
  </si>
  <si>
    <t>Zemējuma plakandzelzis, cinkots  4x40 mm</t>
  </si>
  <si>
    <t>Lenta zemējuma kontūra savienojumu hermetizācijai</t>
  </si>
  <si>
    <t>Smiltis</t>
  </si>
  <si>
    <t>2</t>
  </si>
  <si>
    <t>Šķembas</t>
  </si>
  <si>
    <t>10</t>
  </si>
  <si>
    <t>Labiekārtošana</t>
  </si>
  <si>
    <t>7</t>
  </si>
  <si>
    <t>Bruģakmens</t>
  </si>
  <si>
    <t>30</t>
  </si>
  <si>
    <t>Betona apmale</t>
  </si>
  <si>
    <t>38</t>
  </si>
  <si>
    <t>Spaile zemējuma, universāla, cinkotam metālam, zemējuma elektroda d=20 mm savienošanai ar stiepli d=8-10 mm vai plakandzelzi 4x40 mm</t>
  </si>
  <si>
    <t>Zemētājvads Cu  (izvadiem, savienošanai) d=70 mm, daudzdzīslu vadītājs</t>
  </si>
  <si>
    <t>Kabeļu aizsardzības caurule d=110, zemē guldāmā, gofrētā, lokanā 450N</t>
  </si>
  <si>
    <t>6</t>
  </si>
  <si>
    <t>Kontrolskaitītājs G3B.548. transformatoru apakšst. 140.F47.P2.C350.A8.L1 GR. GR0301.018</t>
  </si>
  <si>
    <t>Hermetizācijas komplekts- Silikons universālais GR0509.001</t>
  </si>
  <si>
    <t>5</t>
  </si>
  <si>
    <t>Pakalpojuma sniegšana ar kravas celšanas mehānismu</t>
  </si>
  <si>
    <t>st.</t>
  </si>
  <si>
    <t>1.1</t>
  </si>
  <si>
    <t>1.2</t>
  </si>
  <si>
    <t>1.3</t>
  </si>
  <si>
    <t>1.4</t>
  </si>
  <si>
    <t>1.5</t>
  </si>
  <si>
    <t>1.6</t>
  </si>
  <si>
    <t>1.7</t>
  </si>
  <si>
    <t>1.8</t>
  </si>
  <si>
    <t>1.9</t>
  </si>
  <si>
    <t>1.10</t>
  </si>
  <si>
    <t>1.11</t>
  </si>
  <si>
    <t>1.12</t>
  </si>
  <si>
    <t>2.1</t>
  </si>
  <si>
    <t>2.2</t>
  </si>
  <si>
    <t>2.3</t>
  </si>
  <si>
    <t>2.4</t>
  </si>
  <si>
    <t>2.5</t>
  </si>
  <si>
    <t>2.6</t>
  </si>
  <si>
    <t>2.7</t>
  </si>
  <si>
    <t>2.8</t>
  </si>
  <si>
    <t>2.9</t>
  </si>
  <si>
    <t>2.10</t>
  </si>
  <si>
    <t>3.1</t>
  </si>
  <si>
    <t>3.2</t>
  </si>
  <si>
    <t>3.3</t>
  </si>
  <si>
    <t>3.4</t>
  </si>
  <si>
    <t>3.5</t>
  </si>
  <si>
    <t>3.6</t>
  </si>
  <si>
    <t>3.7</t>
  </si>
  <si>
    <t>3.8</t>
  </si>
  <si>
    <t>4.1</t>
  </si>
  <si>
    <t>4.2</t>
  </si>
  <si>
    <t>4.3</t>
  </si>
  <si>
    <t>4.4</t>
  </si>
  <si>
    <t>4.5</t>
  </si>
  <si>
    <t>4.6</t>
  </si>
  <si>
    <t>4.7</t>
  </si>
  <si>
    <t>4.8</t>
  </si>
  <si>
    <t>4.9</t>
  </si>
  <si>
    <t>4.10</t>
  </si>
  <si>
    <t>4.11</t>
  </si>
  <si>
    <t>4.12</t>
  </si>
  <si>
    <t>4.13</t>
  </si>
  <si>
    <t>4.14</t>
  </si>
  <si>
    <t>4.15</t>
  </si>
  <si>
    <t>5.1</t>
  </si>
  <si>
    <t>5.2</t>
  </si>
  <si>
    <t>5.3</t>
  </si>
  <si>
    <t>5.4</t>
  </si>
  <si>
    <t>Ārējie elektrotīkli-KTA</t>
  </si>
  <si>
    <t>Sadalne.v/a., IP31, rūpnieciski komplektējama 800A, 420/240V IK08, 50hz  izmērs  ~1900x650x2100,  montāžai uz grīdas.  Ikm3&lt; 20kA, Ikm1&lt; 10kA Ar caurspīdīgām durvīm.  komplektā ar automātiku pēc dotās shēmas</t>
  </si>
  <si>
    <t>Sadalne.v/a., IP31, rūpnieciski komplektējama 400A, 420/240V IK08, 50hz  izmērs ~ 950x650x2100,  montāžai uz grīdas.  Ikm3&lt; 20kA, Ikm1&lt; 10kA Ar caurspīdīgām durvīm.  komplektā ar automātiku pēc dotās shēmas</t>
  </si>
  <si>
    <t>Montāžas metode  Zemapmetuma
Rindu skaits  2
Moduļu skaits  24
Caurspīdīgs pārklājs/durvis  Nē
Korpusa materiāls  Plastmasa
Augstums  436 mm
Platums  361 mm
Dziļums  99 mm
Iebūvēšanas dziļums  92 mm
DIN-sliede  Jā
Krāsa  Balts
RAL numurs  9010
Aizsardzības pakāpe (IP)  IP40</t>
  </si>
  <si>
    <t xml:space="preserve">Siltummezgla automātikas sadalne, komplektā ar kontroles un vadības ierīcēm, IP65, v/a
</t>
  </si>
  <si>
    <t xml:space="preserve">Sadalne, komplektā ar kontroles un vadības ierīcēm, IP65, v/a, metālā korpuss
</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</si>
  <si>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</si>
  <si>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t>
  </si>
  <si>
    <t xml:space="preserve">Montāžas metode  Virsapmetuma
Rindu skaits  2
Moduļu skaits  36
Caurspīdīgs pārklājs/durvis  Jā
Korpusa materiāls  Plastmasa
Augstums  460 mm
Platums  448 mm
Dziļums  160 mm
DIN-sliede  Jā
Krāsa  Pelēks
RAL numurs  7035
Aizsardzības pakāpe (IP)  IP65
</t>
  </si>
  <si>
    <t>Prisma P   MS-1</t>
  </si>
  <si>
    <t>Varset Automatic   MS-1,  MSG-1</t>
  </si>
  <si>
    <t>Prisma P   MSG-1</t>
  </si>
  <si>
    <t>Prisma G   GS-1-1; GS-1-2; GS-1-3; GS-1-4;GS-2-1;GS-2-2; GS-3; GS-4;GS-5; GS-6;</t>
  </si>
  <si>
    <t xml:space="preserve">Sadalne.v/a., ar iebūvētām kontaktligzdām, IP44, rūpnieciski komplektējama līdz 63A,  420/240V 50hz,  montāža pie kabeļu trepes komplektā ar montāžas plāksni VEF-2.  Ikm3&lt; 10kA, Ikm1&lt; 5kA </t>
  </si>
  <si>
    <t>Kaedra   KS-</t>
  </si>
  <si>
    <t>Pragma UP   SS-1-1</t>
  </si>
  <si>
    <t>Pragma UP   SS-1-2</t>
  </si>
  <si>
    <t>Pragma   SS-1-3</t>
  </si>
  <si>
    <t>Pragma UP   SS-2-1</t>
  </si>
  <si>
    <t>Pragma  UP   SS-2-2</t>
  </si>
  <si>
    <t>Pragma   US-1-1; US-2-1</t>
  </si>
  <si>
    <t>Pragma UP   AS-1-1</t>
  </si>
  <si>
    <t>Pragma UP    AS-2-1; AS-2-2;</t>
  </si>
  <si>
    <t>Pragma   AS-1-2</t>
  </si>
  <si>
    <t>Kaedra   AS-1-3</t>
  </si>
  <si>
    <t xml:space="preserve">   UK-1</t>
  </si>
  <si>
    <t xml:space="preserve">   EV-1</t>
  </si>
  <si>
    <t>Mini Pragma   AVS-1-1</t>
  </si>
  <si>
    <t>Mini Pragma   AVS-1-2</t>
  </si>
  <si>
    <t xml:space="preserve">   VS-1</t>
  </si>
  <si>
    <t xml:space="preserve">   VS-2</t>
  </si>
  <si>
    <t xml:space="preserve">   </t>
  </si>
  <si>
    <t>TRILUX  Mirona Fit TB   LED 92 W</t>
  </si>
  <si>
    <t>TRILUX  Mirona Fit-Spo   LED 181W</t>
  </si>
  <si>
    <t>TRILUX E-Line  B LED6500-840   LED 41 W</t>
  </si>
  <si>
    <t xml:space="preserve"> TRILUX E-Line G2 T LED10000-840    LED 74W</t>
  </si>
  <si>
    <t>TRILUX E-Line G2 B LED10000-840   LED 74 W</t>
  </si>
  <si>
    <t>TRILUX E-Line B LED5500-840   LED 35W</t>
  </si>
  <si>
    <t>TRILUX TOC 6815440   LED 36 W</t>
  </si>
  <si>
    <t>TRILUX TOC 6367251   LED 50W</t>
  </si>
  <si>
    <t>TRILUX TOC 6357940   LED 16 W</t>
  </si>
  <si>
    <t>TRILUX TOC 6355340    LED 9 W</t>
  </si>
  <si>
    <t>TRILUX  TOC 6357440   LED 16W</t>
  </si>
  <si>
    <t>TRILUX  TOC 6815240   LED 53W</t>
  </si>
  <si>
    <t>TRILUX  TOC 6815640   LED 31W</t>
  </si>
  <si>
    <t>TRILUX TOC 6355440    LED 9W</t>
  </si>
  <si>
    <t>TRILUX TOC 6458540   LED 18W</t>
  </si>
  <si>
    <t>TRILUX TOC 6825451   LED 61W</t>
  </si>
  <si>
    <t>TRILUX TOC 6325640   LED 40W</t>
  </si>
  <si>
    <t>TRILUX TOC 6334940   LED 17W</t>
  </si>
  <si>
    <t>TRILUX TOC 6360640   LED 25W</t>
  </si>
  <si>
    <t>Awex   AXPR/1W-CB 1W</t>
  </si>
  <si>
    <t>Awex  AXPu/1W-CB 1W</t>
  </si>
  <si>
    <t>Awex   AXNO_6W_B_SE 8.7 W</t>
  </si>
  <si>
    <t>Awex    ODB 3x1W- CB 5.9 W</t>
  </si>
  <si>
    <t>Awex    LV2U/1W-CB 1W</t>
  </si>
  <si>
    <t>Awex   INFINITY II ALL</t>
  </si>
  <si>
    <t xml:space="preserve"> LPS-1</t>
  </si>
  <si>
    <t>134-1428   LED 28W</t>
  </si>
  <si>
    <t>6959840   LED 32W</t>
  </si>
  <si>
    <t>195-9528   LED 15W</t>
  </si>
  <si>
    <t>131-9550   LED 28W</t>
  </si>
  <si>
    <t>131-9537   LED 15W</t>
  </si>
  <si>
    <t>131-9538   LED 15W</t>
  </si>
  <si>
    <t>Asfora   SH</t>
  </si>
  <si>
    <t>Merten   AV</t>
  </si>
  <si>
    <t>Asfora   SK</t>
  </si>
  <si>
    <t>Merten   SV</t>
  </si>
  <si>
    <t>Merten   SD</t>
  </si>
  <si>
    <t>Merten   S2a</t>
  </si>
  <si>
    <t>Merten   SP</t>
  </si>
  <si>
    <t xml:space="preserve"> Steinel PC PRO Dual HF   EAD</t>
  </si>
  <si>
    <t xml:space="preserve"> Steinel PC PRO IR Quattro   EAQ</t>
  </si>
  <si>
    <t xml:space="preserve"> Steinel PC PRO HF 360   EA3</t>
  </si>
  <si>
    <t xml:space="preserve"> Steinel PC PRO HF 361   EA3H</t>
  </si>
  <si>
    <t xml:space="preserve"> Steinel PC PRO IR Quattro SLIM   EAI</t>
  </si>
  <si>
    <t xml:space="preserve">Wago   </t>
  </si>
  <si>
    <t xml:space="preserve">Faber kabel   </t>
  </si>
  <si>
    <t xml:space="preserve">Draka Keila cables   </t>
  </si>
  <si>
    <t xml:space="preserve">Evopipes   </t>
  </si>
  <si>
    <t xml:space="preserve">Sapiselco   </t>
  </si>
  <si>
    <t>Merten   XS</t>
  </si>
  <si>
    <t>Merten   XS2</t>
  </si>
  <si>
    <t>Merten   XS4</t>
  </si>
  <si>
    <t>Merten   XH</t>
  </si>
  <si>
    <t>Merten   XH2</t>
  </si>
  <si>
    <t>Merten   XH3</t>
  </si>
  <si>
    <t>Asfora   XN</t>
  </si>
  <si>
    <t>Asfora   XN2</t>
  </si>
  <si>
    <t>BALS   XR</t>
  </si>
  <si>
    <t>Optiline 43   XK2</t>
  </si>
  <si>
    <t>Optiline 44   XK4</t>
  </si>
  <si>
    <t>Optiline 45   RK</t>
  </si>
  <si>
    <t xml:space="preserve">   XM</t>
  </si>
  <si>
    <t xml:space="preserve">   XT</t>
  </si>
  <si>
    <t xml:space="preserve">   SB</t>
  </si>
  <si>
    <t xml:space="preserve">   TR</t>
  </si>
  <si>
    <t>Ventilācijas sadalne</t>
  </si>
  <si>
    <t xml:space="preserve">   VS</t>
  </si>
  <si>
    <t xml:space="preserve">Merten   </t>
  </si>
  <si>
    <t>Meka   KP</t>
  </si>
  <si>
    <t xml:space="preserve">   GK</t>
  </si>
  <si>
    <t>Cinkota gaismas sliede  63x100, C3-C-3</t>
  </si>
  <si>
    <t xml:space="preserve">   GR</t>
  </si>
  <si>
    <t>Meka   AS</t>
  </si>
  <si>
    <t>Meka   KRAU</t>
  </si>
  <si>
    <t xml:space="preserve">   KP</t>
  </si>
  <si>
    <t xml:space="preserve">   KRAU</t>
  </si>
  <si>
    <t>Meka   GR</t>
  </si>
  <si>
    <t xml:space="preserve">Obo    </t>
  </si>
  <si>
    <t>Evopipes   KK</t>
  </si>
  <si>
    <t>Evopipes   PE</t>
  </si>
  <si>
    <t>Meka   PE</t>
  </si>
  <si>
    <t xml:space="preserve">Meka   </t>
  </si>
  <si>
    <t xml:space="preserve">M3   </t>
  </si>
  <si>
    <t xml:space="preserve">CellPack   </t>
  </si>
  <si>
    <t>Obo    ZU</t>
  </si>
  <si>
    <t>Obo    PAS</t>
  </si>
  <si>
    <t>Obo    ZI</t>
  </si>
  <si>
    <t xml:space="preserve">iPRF1     </t>
  </si>
  <si>
    <t xml:space="preserve">iPF  / iPF8    </t>
  </si>
  <si>
    <t>k-ts</t>
  </si>
  <si>
    <t>Kabeļu plauktu sistēma</t>
  </si>
  <si>
    <t>Salizturīgo smilti komunikāciju ”spilvenam”</t>
  </si>
  <si>
    <t>Kabeļu kanalizācijas celtniecība, ja cauruļu skaits blokā: 2</t>
  </si>
  <si>
    <t>Telfera skrejceļu sijas(BK-07.1)</t>
  </si>
  <si>
    <t>Saliekamās dzelzsbetona sijas (BK-15)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</si>
</sst>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0\ &quot;€&quot;;[Red]\-#,##0\ &quot;€&quot;"/>
    <numFmt numFmtId="165" formatCode="_-* #,##0.00_-;\-* #,##0.00_-;_-* \-??_-;_-@_-"/>
    <numFmt numFmtId="166" formatCode="m\o\n\th\ d\,\ yyyy"/>
    <numFmt numFmtId="167" formatCode="#.00"/>
    <numFmt numFmtId="168" formatCode="#."/>
    <numFmt numFmtId="169" formatCode="0.0"/>
    <numFmt numFmtId="170" formatCode="#,##0.0"/>
    <numFmt numFmtId="171" formatCode="0.00;[Red]0.00"/>
    <numFmt numFmtId="172" formatCode="#,##0.000"/>
  </numFmts>
  <fonts count="65">
    <font>
      <sz val="10"/>
      <name val="Arial"/>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2"/>
      <name val="Arial"/>
      <family val="2"/>
      <charset val="186"/>
    </font>
    <font>
      <b/>
      <sz val="12"/>
      <name val="Arial"/>
      <family val="2"/>
      <charset val="186"/>
    </font>
    <font>
      <b/>
      <sz val="16"/>
      <name val="Arial"/>
      <family val="2"/>
      <charset val="186"/>
    </font>
    <font>
      <sz val="11"/>
      <name val="Arial"/>
      <family val="2"/>
      <charset val="186"/>
    </font>
    <font>
      <b/>
      <sz val="11"/>
      <name val="Arial"/>
      <family val="2"/>
      <charset val="186"/>
    </font>
    <font>
      <b/>
      <sz val="14"/>
      <name val="Arial"/>
      <family val="2"/>
      <charset val="186"/>
    </font>
    <font>
      <b/>
      <sz val="13"/>
      <name val="Arial"/>
      <family val="2"/>
      <charset val="186"/>
    </font>
    <font>
      <sz val="11"/>
      <color indexed="10"/>
      <name val="Arial"/>
      <family val="2"/>
      <charset val="186"/>
    </font>
    <font>
      <sz val="8"/>
      <name val="Arial"/>
      <family val="2"/>
      <charset val="186"/>
    </font>
    <font>
      <sz val="10"/>
      <name val="Helv"/>
      <family val="2"/>
    </font>
    <font>
      <sz val="1"/>
      <color indexed="8"/>
      <name val="Courier"/>
      <family val="1"/>
      <charset val="186"/>
    </font>
    <font>
      <b/>
      <sz val="1"/>
      <color indexed="8"/>
      <name val="Courier"/>
      <family val="1"/>
      <charset val="186"/>
    </font>
    <font>
      <sz val="10"/>
      <name val="Helv"/>
    </font>
    <font>
      <b/>
      <sz val="12"/>
      <color theme="3" tint="-0.499984740745262"/>
      <name val="Arial"/>
      <family val="2"/>
      <charset val="204"/>
    </font>
    <font>
      <sz val="14"/>
      <name val="Arial"/>
      <family val="2"/>
      <charset val="186"/>
    </font>
    <font>
      <b/>
      <sz val="10"/>
      <name val="Arial"/>
      <family val="2"/>
      <charset val="186"/>
    </font>
    <font>
      <sz val="10"/>
      <name val="Arial"/>
      <family val="2"/>
    </font>
    <font>
      <sz val="10"/>
      <color theme="5" tint="-0.499984740745262"/>
      <name val="Arial"/>
      <family val="2"/>
      <charset val="186"/>
    </font>
    <font>
      <sz val="10"/>
      <color theme="1"/>
      <name val="Arial"/>
      <family val="2"/>
      <charset val="186"/>
    </font>
    <font>
      <sz val="11"/>
      <color theme="1"/>
      <name val="Arial"/>
      <family val="2"/>
      <charset val="186"/>
    </font>
    <font>
      <b/>
      <sz val="11"/>
      <color theme="1"/>
      <name val="Arial"/>
      <family val="2"/>
      <charset val="186"/>
    </font>
    <font>
      <sz val="12"/>
      <color theme="1"/>
      <name val="Arial"/>
      <family val="2"/>
      <charset val="186"/>
    </font>
    <font>
      <b/>
      <sz val="10"/>
      <color theme="1"/>
      <name val="Arial"/>
      <family val="2"/>
      <charset val="186"/>
    </font>
    <font>
      <sz val="9"/>
      <name val="Arial"/>
      <family val="2"/>
      <charset val="186"/>
    </font>
    <font>
      <sz val="12"/>
      <color theme="0"/>
      <name val="Arial"/>
      <family val="2"/>
      <charset val="186"/>
    </font>
    <font>
      <sz val="11"/>
      <name val="Calibri"/>
      <family val="2"/>
      <charset val="186"/>
      <scheme val="minor"/>
    </font>
    <font>
      <b/>
      <sz val="12"/>
      <name val="Arial"/>
      <family val="2"/>
      <charset val="204"/>
    </font>
    <font>
      <sz val="11"/>
      <color indexed="8"/>
      <name val="Arial"/>
      <family val="2"/>
      <charset val="186"/>
    </font>
    <font>
      <i/>
      <sz val="12"/>
      <name val="Arial"/>
      <family val="2"/>
      <charset val="186"/>
    </font>
    <font>
      <sz val="11"/>
      <color indexed="8"/>
      <name val="Calibri"/>
      <family val="2"/>
      <charset val="204"/>
    </font>
    <font>
      <sz val="11"/>
      <color indexed="8"/>
      <name val="Calibri"/>
      <family val="2"/>
      <charset val="186"/>
    </font>
    <font>
      <sz val="11"/>
      <color rgb="FFFF0000"/>
      <name val="Arial"/>
      <family val="2"/>
      <charset val="186"/>
    </font>
    <font>
      <sz val="10"/>
      <color rgb="FFFF0000"/>
      <name val="Arial"/>
      <family val="2"/>
      <charset val="186"/>
    </font>
    <font>
      <sz val="10"/>
      <color theme="0"/>
      <name val="Arial"/>
      <family val="2"/>
      <charset val="186"/>
    </font>
    <font>
      <sz val="10"/>
      <color indexed="8"/>
      <name val="Arial"/>
      <family val="2"/>
      <charset val="186"/>
    </font>
    <font>
      <sz val="12"/>
      <name val="BaltCenturyOldStyle"/>
      <family val="2"/>
      <charset val="186"/>
    </font>
    <font>
      <vertAlign val="superscript"/>
      <sz val="10"/>
      <color theme="1"/>
      <name val="Arial"/>
      <family val="2"/>
      <charset val="186"/>
    </font>
    <font>
      <sz val="10"/>
      <color indexed="64"/>
      <name val="Arial"/>
      <family val="2"/>
      <charset val="186"/>
    </font>
    <font>
      <b/>
      <i/>
      <u/>
      <sz val="10"/>
      <name val="Arial"/>
      <family val="2"/>
      <charset val="186"/>
    </font>
    <font>
      <sz val="10"/>
      <color indexed="16"/>
      <name val="Arial"/>
      <family val="2"/>
      <charset val="186"/>
    </font>
    <font>
      <sz val="11"/>
      <name val="Calibri"/>
      <family val="2"/>
      <charset val="186"/>
    </font>
    <font>
      <b/>
      <sz val="10"/>
      <name val="Arial"/>
      <family val="2"/>
    </font>
    <font>
      <sz val="10"/>
      <color indexed="8"/>
      <name val="Arial"/>
      <family val="2"/>
      <charset val="204"/>
    </font>
    <font>
      <sz val="10"/>
      <name val="Arial"/>
      <family val="2"/>
      <charset val="204"/>
    </font>
    <font>
      <b/>
      <i/>
      <sz val="11"/>
      <color theme="1"/>
      <name val="Calibri"/>
      <family val="2"/>
      <scheme val="minor"/>
    </font>
    <font>
      <b/>
      <i/>
      <sz val="11"/>
      <color rgb="FFFF0000"/>
      <name val="Calibri"/>
      <family val="2"/>
      <scheme val="minor"/>
    </font>
    <font>
      <b/>
      <i/>
      <sz val="10"/>
      <name val="Arial"/>
      <family val="2"/>
      <charset val="186"/>
    </font>
    <font>
      <b/>
      <i/>
      <u/>
      <sz val="12"/>
      <name val="Arial"/>
      <family val="2"/>
      <charset val="186"/>
    </font>
    <font>
      <b/>
      <u/>
      <sz val="10"/>
      <color theme="1"/>
      <name val="Arial"/>
      <family val="2"/>
      <charset val="186"/>
    </font>
    <font>
      <sz val="10"/>
      <color indexed="8"/>
      <name val="MS Sans Serif"/>
      <family val="2"/>
      <charset val="186"/>
    </font>
    <font>
      <sz val="11"/>
      <color rgb="FF9C0006"/>
      <name val="Calibri"/>
      <family val="2"/>
      <scheme val="minor"/>
    </font>
    <font>
      <i/>
      <sz val="11"/>
      <color rgb="FF7F7F7F"/>
      <name val="Calibri"/>
      <family val="2"/>
      <scheme val="minor"/>
    </font>
    <font>
      <sz val="10"/>
      <color theme="1"/>
      <name val="Arial"/>
      <family val="2"/>
    </font>
    <font>
      <b/>
      <sz val="11"/>
      <color rgb="FFFF0000"/>
      <name val="Cambria"/>
      <family val="2"/>
      <charset val="204"/>
      <scheme val="major"/>
    </font>
    <font>
      <sz val="9"/>
      <name val="Arial"/>
      <family val="2"/>
    </font>
    <font>
      <b/>
      <sz val="12"/>
      <name val="Arial Narrow"/>
      <family val="2"/>
      <charset val="186"/>
    </font>
    <font>
      <sz val="12"/>
      <name val="Arial Narrow"/>
      <family val="2"/>
      <charset val="186"/>
    </font>
    <font>
      <sz val="12"/>
      <color theme="1"/>
      <name val="Arial Narrow"/>
      <family val="2"/>
      <charset val="186"/>
    </font>
  </fonts>
  <fills count="1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theme="6" tint="0.79998168889431442"/>
        <bgColor indexed="64"/>
      </patternFill>
    </fill>
    <fill>
      <patternFill patternType="solid">
        <fgColor indexed="43"/>
        <bgColor indexed="64"/>
      </patternFill>
    </fill>
    <fill>
      <patternFill patternType="solid">
        <fgColor theme="0"/>
        <bgColor indexed="64"/>
      </patternFill>
    </fill>
    <fill>
      <patternFill patternType="solid">
        <fgColor rgb="FFFFFFFF"/>
        <bgColor indexed="64"/>
      </patternFill>
    </fill>
    <fill>
      <patternFill patternType="solid">
        <fgColor theme="0"/>
        <bgColor indexed="26"/>
      </patternFill>
    </fill>
    <fill>
      <patternFill patternType="solid">
        <fgColor rgb="FFFF0000"/>
        <bgColor indexed="64"/>
      </patternFill>
    </fill>
    <fill>
      <patternFill patternType="solid">
        <fgColor theme="8" tint="0.39997558519241921"/>
        <bgColor indexed="64"/>
      </patternFill>
    </fill>
    <fill>
      <patternFill patternType="solid">
        <fgColor indexed="9"/>
        <bgColor indexed="26"/>
      </patternFill>
    </fill>
    <fill>
      <patternFill patternType="solid">
        <fgColor theme="6" tint="0.59999389629810485"/>
        <bgColor indexed="64"/>
      </patternFill>
    </fill>
    <fill>
      <patternFill patternType="solid">
        <fgColor rgb="FFFFFF00"/>
        <bgColor indexed="64"/>
      </patternFill>
    </fill>
    <fill>
      <patternFill patternType="solid">
        <fgColor rgb="FFFFC7CE"/>
      </patternFill>
    </fill>
  </fills>
  <borders count="9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22"/>
      </right>
      <top style="thin">
        <color indexed="22"/>
      </top>
      <bottom style="thin">
        <color indexed="22"/>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medium">
        <color auto="1"/>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24994659260841701"/>
      </left>
      <right style="thin">
        <color theme="0" tint="-0.24994659260841701"/>
      </right>
      <top style="thin">
        <color theme="0" tint="-0.24994659260841701"/>
      </top>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indexed="64"/>
      </left>
      <right style="thin">
        <color indexed="22"/>
      </right>
      <top style="thin">
        <color indexed="64"/>
      </top>
      <bottom/>
      <diagonal/>
    </border>
    <border>
      <left style="thin">
        <color indexed="22"/>
      </left>
      <right style="thin">
        <color indexed="22"/>
      </right>
      <top style="thin">
        <color indexed="64"/>
      </top>
      <bottom/>
      <diagonal/>
    </border>
    <border>
      <left style="thin">
        <color indexed="22"/>
      </left>
      <right style="thin">
        <color indexed="64"/>
      </right>
      <top style="thin">
        <color indexed="64"/>
      </top>
      <bottom/>
      <diagonal/>
    </border>
    <border>
      <left style="medium">
        <color auto="1"/>
      </left>
      <right style="medium">
        <color theme="0" tint="-0.24994659260841701"/>
      </right>
      <top style="medium">
        <color auto="1"/>
      </top>
      <bottom style="medium">
        <color theme="0" tint="-0.24994659260841701"/>
      </bottom>
      <diagonal/>
    </border>
    <border>
      <left style="medium">
        <color theme="0" tint="-0.24994659260841701"/>
      </left>
      <right style="medium">
        <color theme="0" tint="-0.24994659260841701"/>
      </right>
      <top style="medium">
        <color auto="1"/>
      </top>
      <bottom style="medium">
        <color theme="0" tint="-0.24994659260841701"/>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auto="1"/>
      </left>
      <right style="medium">
        <color theme="0" tint="-0.24994659260841701"/>
      </right>
      <top style="medium">
        <color theme="0" tint="-0.24994659260841701"/>
      </top>
      <bottom style="medium">
        <color auto="1"/>
      </bottom>
      <diagonal/>
    </border>
    <border>
      <left style="medium">
        <color theme="0" tint="-0.24994659260841701"/>
      </left>
      <right style="medium">
        <color theme="0" tint="-0.24994659260841701"/>
      </right>
      <top style="medium">
        <color theme="0" tint="-0.24994659260841701"/>
      </top>
      <bottom style="medium">
        <color auto="1"/>
      </bottom>
      <diagonal/>
    </border>
    <border>
      <left style="thin">
        <color indexed="64"/>
      </left>
      <right style="thin">
        <color indexed="64"/>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indexed="64"/>
      </left>
      <right/>
      <top/>
      <bottom/>
      <diagonal/>
    </border>
    <border>
      <left/>
      <right style="thin">
        <color indexed="64"/>
      </right>
      <top/>
      <bottom/>
      <diagonal/>
    </border>
    <border>
      <left style="thin">
        <color indexed="64"/>
      </left>
      <right style="thin">
        <color theme="0" tint="-0.34998626667073579"/>
      </right>
      <top style="thin">
        <color indexed="64"/>
      </top>
      <bottom style="thin">
        <color theme="0" tint="-0.24994659260841701"/>
      </bottom>
      <diagonal/>
    </border>
    <border>
      <left/>
      <right style="thin">
        <color theme="0" tint="-0.34998626667073579"/>
      </right>
      <top style="thin">
        <color indexed="64"/>
      </top>
      <bottom style="thin">
        <color theme="0" tint="-0.24994659260841701"/>
      </bottom>
      <diagonal/>
    </border>
    <border>
      <left style="thin">
        <color theme="0" tint="-0.34998626667073579"/>
      </left>
      <right style="thin">
        <color theme="0" tint="-0.34998626667073579"/>
      </right>
      <top style="thin">
        <color indexed="64"/>
      </top>
      <bottom style="thin">
        <color theme="0" tint="-0.24994659260841701"/>
      </bottom>
      <diagonal/>
    </border>
    <border>
      <left style="thin">
        <color theme="0" tint="-0.34998626667073579"/>
      </left>
      <right style="thin">
        <color indexed="64"/>
      </right>
      <top style="thin">
        <color indexed="64"/>
      </top>
      <bottom style="thin">
        <color theme="0" tint="-0.24994659260841701"/>
      </bottom>
      <diagonal/>
    </border>
    <border>
      <left style="thin">
        <color indexed="64"/>
      </left>
      <right style="thin">
        <color theme="0" tint="-0.34998626667073579"/>
      </right>
      <top style="thin">
        <color theme="0" tint="-0.24994659260841701"/>
      </top>
      <bottom style="thin">
        <color indexed="64"/>
      </bottom>
      <diagonal/>
    </border>
    <border>
      <left/>
      <right style="thin">
        <color theme="0" tint="-0.34998626667073579"/>
      </right>
      <top style="thin">
        <color theme="0" tint="-0.24994659260841701"/>
      </top>
      <bottom style="thin">
        <color indexed="64"/>
      </bottom>
      <diagonal/>
    </border>
    <border>
      <left style="thin">
        <color theme="0" tint="-0.34998626667073579"/>
      </left>
      <right style="thin">
        <color theme="0" tint="-0.34998626667073579"/>
      </right>
      <top style="thin">
        <color theme="0" tint="-0.24994659260841701"/>
      </top>
      <bottom style="thin">
        <color indexed="64"/>
      </bottom>
      <diagonal/>
    </border>
    <border>
      <left style="thin">
        <color theme="0" tint="-0.34998626667073579"/>
      </left>
      <right style="thin">
        <color indexed="64"/>
      </right>
      <top style="thin">
        <color theme="0" tint="-0.24994659260841701"/>
      </top>
      <bottom style="thin">
        <color indexed="64"/>
      </bottom>
      <diagonal/>
    </border>
    <border>
      <left style="thin">
        <color indexed="64"/>
      </left>
      <right style="thin">
        <color theme="0" tint="-0.34998626667073579"/>
      </right>
      <top/>
      <bottom/>
      <diagonal/>
    </border>
    <border>
      <left/>
      <right style="thin">
        <color theme="0" tint="-0.34998626667073579"/>
      </right>
      <top/>
      <bottom/>
      <diagonal/>
    </border>
    <border>
      <left style="thin">
        <color theme="0" tint="-0.24994659260841701"/>
      </left>
      <right style="thin">
        <color theme="0" tint="-0.24994659260841701"/>
      </right>
      <top/>
      <bottom/>
      <diagonal/>
    </border>
    <border>
      <left style="thin">
        <color theme="0" tint="-0.34998626667073579"/>
      </left>
      <right style="thin">
        <color theme="0" tint="-0.34998626667073579"/>
      </right>
      <top/>
      <bottom/>
      <diagonal/>
    </border>
    <border>
      <left style="thin">
        <color theme="0" tint="-0.34998626667073579"/>
      </left>
      <right style="thin">
        <color indexed="64"/>
      </right>
      <top/>
      <bottom/>
      <diagonal/>
    </border>
    <border>
      <left style="thin">
        <color theme="0" tint="-0.34998626667073579"/>
      </left>
      <right/>
      <top style="thin">
        <color indexed="64"/>
      </top>
      <bottom style="thin">
        <color theme="0" tint="-0.24994659260841701"/>
      </bottom>
      <diagonal/>
    </border>
    <border>
      <left style="medium">
        <color theme="0" tint="-0.24994659260841701"/>
      </left>
      <right/>
      <top style="medium">
        <color auto="1"/>
      </top>
      <bottom style="medium">
        <color theme="0" tint="-0.24994659260841701"/>
      </bottom>
      <diagonal/>
    </border>
    <border>
      <left/>
      <right style="medium">
        <color theme="0" tint="-0.24994659260841701"/>
      </right>
      <top style="medium">
        <color auto="1"/>
      </top>
      <bottom style="medium">
        <color theme="0" tint="-0.24994659260841701"/>
      </bottom>
      <diagonal/>
    </border>
    <border>
      <left style="thin">
        <color indexed="55"/>
      </left>
      <right style="thin">
        <color indexed="55"/>
      </right>
      <top style="thin">
        <color indexed="55"/>
      </top>
      <bottom style="thin">
        <color indexed="55"/>
      </bottom>
      <diagonal/>
    </border>
    <border>
      <left style="medium">
        <color indexed="64"/>
      </left>
      <right style="thin">
        <color indexed="55"/>
      </right>
      <top style="thin">
        <color indexed="55"/>
      </top>
      <bottom style="thin">
        <color indexed="55"/>
      </bottom>
      <diagonal/>
    </border>
    <border>
      <left style="thin">
        <color indexed="64"/>
      </left>
      <right style="thin">
        <color indexed="55"/>
      </right>
      <top style="thin">
        <color indexed="55"/>
      </top>
      <bottom style="thin">
        <color indexed="55"/>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style="thin">
        <color indexed="64"/>
      </right>
      <top style="thin">
        <color theme="0" tint="-0.34998626667073579"/>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indexed="64"/>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auto="1"/>
      </right>
      <top style="thin">
        <color indexed="64"/>
      </top>
      <bottom style="thin">
        <color theme="0" tint="-0.14996795556505021"/>
      </bottom>
      <diagonal/>
    </border>
    <border>
      <left style="thin">
        <color theme="0" tint="-0.14996795556505021"/>
      </left>
      <right style="thin">
        <color auto="1"/>
      </right>
      <top style="thin">
        <color theme="0" tint="-0.14996795556505021"/>
      </top>
      <bottom style="thin">
        <color theme="0" tint="-0.14996795556505021"/>
      </bottom>
      <diagonal/>
    </border>
    <border>
      <left style="thin">
        <color indexed="64"/>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auto="1"/>
      </right>
      <top style="thin">
        <color theme="0" tint="-0.14996795556505021"/>
      </top>
      <bottom style="thin">
        <color indexed="64"/>
      </bottom>
      <diagonal/>
    </border>
  </borders>
  <cellStyleXfs count="71">
    <xf numFmtId="0" fontId="0" fillId="0" borderId="0"/>
    <xf numFmtId="0" fontId="5"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16" fillId="0" borderId="0" applyFill="0" applyBorder="0" applyAlignment="0" applyProtection="0"/>
    <xf numFmtId="166" fontId="17" fillId="0" borderId="0">
      <protection locked="0"/>
    </xf>
    <xf numFmtId="167" fontId="17" fillId="0" borderId="0">
      <protection locked="0"/>
    </xf>
    <xf numFmtId="168" fontId="18" fillId="0" borderId="0">
      <protection locked="0"/>
    </xf>
    <xf numFmtId="168" fontId="18"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9" fillId="0" borderId="0"/>
    <xf numFmtId="0" fontId="19" fillId="0" borderId="0"/>
    <xf numFmtId="0" fontId="16" fillId="0" borderId="0"/>
    <xf numFmtId="0" fontId="3" fillId="0" borderId="0"/>
    <xf numFmtId="43" fontId="3" fillId="0" borderId="0" applyFont="0" applyFill="0" applyBorder="0" applyAlignment="0" applyProtection="0"/>
    <xf numFmtId="0" fontId="2" fillId="0" borderId="0"/>
    <xf numFmtId="0" fontId="19" fillId="0" borderId="0"/>
    <xf numFmtId="0" fontId="1" fillId="0" borderId="0"/>
    <xf numFmtId="0" fontId="1" fillId="0" borderId="0"/>
    <xf numFmtId="0" fontId="36" fillId="0" borderId="0"/>
    <xf numFmtId="0" fontId="1" fillId="0" borderId="0"/>
    <xf numFmtId="43" fontId="37" fillId="0" borderId="0" applyFont="0" applyFill="0" applyBorder="0" applyAlignment="0" applyProtection="0"/>
    <xf numFmtId="0" fontId="1" fillId="0" borderId="0"/>
    <xf numFmtId="0" fontId="42" fillId="0" borderId="0"/>
    <xf numFmtId="0" fontId="6" fillId="0" borderId="0"/>
    <xf numFmtId="0" fontId="44"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6" fillId="0" borderId="0"/>
    <xf numFmtId="0" fontId="1" fillId="0" borderId="0"/>
    <xf numFmtId="0" fontId="1" fillId="0" borderId="0"/>
    <xf numFmtId="0" fontId="6" fillId="0" borderId="0"/>
    <xf numFmtId="0" fontId="1" fillId="0" borderId="0"/>
    <xf numFmtId="0" fontId="1" fillId="0" borderId="0"/>
    <xf numFmtId="0" fontId="56" fillId="0" borderId="0"/>
    <xf numFmtId="0" fontId="57" fillId="15" borderId="0" applyNumberFormat="0" applyBorder="0" applyAlignment="0" applyProtection="0"/>
    <xf numFmtId="0" fontId="23" fillId="0" borderId="0"/>
    <xf numFmtId="0" fontId="6" fillId="0" borderId="0"/>
    <xf numFmtId="0" fontId="6" fillId="0" borderId="0"/>
    <xf numFmtId="0" fontId="58" fillId="0" borderId="0" applyNumberFormat="0" applyFill="0" applyBorder="0" applyAlignment="0" applyProtection="0"/>
    <xf numFmtId="0" fontId="23" fillId="0" borderId="0" applyProtection="0"/>
  </cellStyleXfs>
  <cellXfs count="992">
    <xf numFmtId="0" fontId="0" fillId="0" borderId="0" xfId="0"/>
    <xf numFmtId="0" fontId="6" fillId="0" borderId="0" xfId="0" applyFont="1"/>
    <xf numFmtId="0" fontId="10" fillId="0" borderId="0" xfId="0" applyFont="1" applyAlignment="1">
      <alignment horizontal="right" vertical="top" wrapText="1"/>
    </xf>
    <xf numFmtId="0" fontId="10" fillId="0" borderId="0" xfId="0" applyFont="1"/>
    <xf numFmtId="0" fontId="10" fillId="0" borderId="0" xfId="0" applyFont="1" applyAlignment="1">
      <alignment horizontal="left"/>
    </xf>
    <xf numFmtId="0" fontId="6" fillId="0" borderId="0" xfId="27" applyFont="1"/>
    <xf numFmtId="0" fontId="6" fillId="0" borderId="0" xfId="27" applyFont="1" applyAlignment="1">
      <alignment horizontal="right"/>
    </xf>
    <xf numFmtId="0" fontId="7" fillId="0" borderId="0" xfId="27" applyFont="1" applyAlignment="1">
      <alignment horizontal="right"/>
    </xf>
    <xf numFmtId="0" fontId="8" fillId="0" borderId="0" xfId="27" applyFont="1" applyAlignment="1">
      <alignment horizontal="center"/>
    </xf>
    <xf numFmtId="0" fontId="20" fillId="0" borderId="0" xfId="27" applyFont="1" applyAlignment="1">
      <alignment horizontal="right" vertical="center" wrapText="1"/>
    </xf>
    <xf numFmtId="0" fontId="10" fillId="0" borderId="0" xfId="27" applyFont="1" applyAlignment="1">
      <alignment horizontal="right"/>
    </xf>
    <xf numFmtId="0" fontId="4" fillId="0" borderId="0" xfId="27"/>
    <xf numFmtId="0" fontId="10" fillId="0" borderId="0" xfId="0" applyFont="1" applyAlignment="1">
      <alignment horizontal="right"/>
    </xf>
    <xf numFmtId="0" fontId="8" fillId="4" borderId="10" xfId="33" applyFont="1" applyFill="1" applyBorder="1" applyAlignment="1" applyProtection="1">
      <alignment vertical="center" wrapText="1"/>
      <protection locked="0"/>
    </xf>
    <xf numFmtId="0" fontId="23" fillId="0" borderId="9" xfId="34" applyFont="1" applyBorder="1" applyAlignment="1" applyProtection="1">
      <alignment horizontal="center" vertical="center"/>
      <protection locked="0"/>
    </xf>
    <xf numFmtId="0" fontId="23" fillId="7" borderId="9" xfId="34" applyFont="1" applyFill="1" applyBorder="1" applyAlignment="1" applyProtection="1">
      <alignment horizontal="center" vertical="center"/>
      <protection locked="0"/>
    </xf>
    <xf numFmtId="0" fontId="23" fillId="0" borderId="12" xfId="34" applyFont="1" applyBorder="1" applyAlignment="1" applyProtection="1">
      <alignment horizontal="left" vertical="center" wrapText="1" indent="1"/>
      <protection locked="0"/>
    </xf>
    <xf numFmtId="0" fontId="23" fillId="0" borderId="9" xfId="34" applyFont="1" applyBorder="1" applyAlignment="1" applyProtection="1">
      <alignment horizontal="left" vertical="center" wrapText="1" indent="1"/>
      <protection locked="0"/>
    </xf>
    <xf numFmtId="0" fontId="23" fillId="0" borderId="7" xfId="34" applyFont="1" applyBorder="1" applyAlignment="1" applyProtection="1">
      <alignment horizontal="center" vertical="center"/>
      <protection locked="0"/>
    </xf>
    <xf numFmtId="0" fontId="26" fillId="0" borderId="0" xfId="36" applyFont="1"/>
    <xf numFmtId="0" fontId="26" fillId="0" borderId="0" xfId="36" applyFont="1" applyAlignment="1">
      <alignment horizontal="right" vertical="center"/>
    </xf>
    <xf numFmtId="0" fontId="27" fillId="0" borderId="0" xfId="36" applyFont="1" applyAlignment="1">
      <alignment vertical="center"/>
    </xf>
    <xf numFmtId="0" fontId="26" fillId="0" borderId="0" xfId="36" applyFont="1" applyAlignment="1">
      <alignment vertical="center"/>
    </xf>
    <xf numFmtId="0" fontId="26" fillId="8" borderId="0" xfId="36" applyFont="1" applyFill="1" applyAlignment="1">
      <alignment horizontal="right" vertical="center"/>
    </xf>
    <xf numFmtId="0" fontId="27" fillId="0" borderId="0" xfId="36" applyFont="1"/>
    <xf numFmtId="0" fontId="25" fillId="0" borderId="0" xfId="36" applyFont="1"/>
    <xf numFmtId="165" fontId="29" fillId="0" borderId="0" xfId="36" applyNumberFormat="1" applyFont="1"/>
    <xf numFmtId="0" fontId="26" fillId="8" borderId="0" xfId="36" applyFont="1" applyFill="1" applyAlignment="1">
      <alignment vertical="center"/>
    </xf>
    <xf numFmtId="0" fontId="25" fillId="0" borderId="14" xfId="36" applyFont="1" applyBorder="1" applyAlignment="1">
      <alignment horizontal="center" vertical="center"/>
    </xf>
    <xf numFmtId="2" fontId="25" fillId="0" borderId="11" xfId="36" applyNumberFormat="1" applyFont="1" applyBorder="1" applyAlignment="1">
      <alignment horizontal="center" vertical="center"/>
    </xf>
    <xf numFmtId="2" fontId="24" fillId="0" borderId="11" xfId="36" applyNumberFormat="1" applyFont="1" applyBorder="1" applyAlignment="1">
      <alignment horizontal="center" vertical="center"/>
    </xf>
    <xf numFmtId="2" fontId="25" fillId="7" borderId="11" xfId="36" applyNumberFormat="1" applyFont="1" applyFill="1" applyBorder="1" applyAlignment="1">
      <alignment horizontal="center" vertical="center"/>
    </xf>
    <xf numFmtId="2" fontId="25" fillId="0" borderId="15" xfId="36" applyNumberFormat="1" applyFont="1" applyBorder="1" applyAlignment="1">
      <alignment horizontal="center" vertical="center"/>
    </xf>
    <xf numFmtId="0" fontId="25" fillId="0" borderId="13" xfId="36" applyFont="1" applyBorder="1" applyAlignment="1">
      <alignment horizontal="center" vertical="center"/>
    </xf>
    <xf numFmtId="0" fontId="25" fillId="0" borderId="16" xfId="36" applyFont="1" applyBorder="1" applyAlignment="1">
      <alignment horizontal="center" vertical="center"/>
    </xf>
    <xf numFmtId="0" fontId="25" fillId="0" borderId="17" xfId="36" applyFont="1" applyBorder="1" applyAlignment="1">
      <alignment horizontal="center" vertical="center"/>
    </xf>
    <xf numFmtId="0" fontId="25" fillId="0" borderId="18" xfId="36" applyFont="1" applyBorder="1" applyAlignment="1">
      <alignment vertical="center" wrapText="1"/>
    </xf>
    <xf numFmtId="0" fontId="25" fillId="0" borderId="18" xfId="36" applyFont="1" applyBorder="1" applyAlignment="1">
      <alignment horizontal="center" vertical="center" wrapText="1"/>
    </xf>
    <xf numFmtId="2" fontId="25" fillId="0" borderId="18" xfId="36" applyNumberFormat="1" applyFont="1" applyBorder="1" applyAlignment="1">
      <alignment horizontal="center" vertical="center"/>
    </xf>
    <xf numFmtId="2" fontId="25" fillId="7" borderId="18" xfId="36" applyNumberFormat="1" applyFont="1" applyFill="1" applyBorder="1" applyAlignment="1">
      <alignment horizontal="center" vertical="center"/>
    </xf>
    <xf numFmtId="2" fontId="25" fillId="0" borderId="19" xfId="36" applyNumberFormat="1" applyFont="1" applyBorder="1" applyAlignment="1">
      <alignment horizontal="center" vertical="center"/>
    </xf>
    <xf numFmtId="0" fontId="26" fillId="0" borderId="5" xfId="36" applyFont="1" applyBorder="1" applyAlignment="1">
      <alignment vertical="top"/>
    </xf>
    <xf numFmtId="165" fontId="11" fillId="0" borderId="21" xfId="36" applyNumberFormat="1" applyFont="1" applyFill="1" applyBorder="1" applyAlignment="1">
      <alignment horizontal="right" vertical="center"/>
    </xf>
    <xf numFmtId="0" fontId="25" fillId="0" borderId="0" xfId="36" applyFont="1" applyAlignment="1">
      <alignment vertical="top"/>
    </xf>
    <xf numFmtId="0" fontId="25" fillId="0" borderId="0" xfId="36" applyFont="1" applyAlignment="1">
      <alignment vertical="center" wrapText="1"/>
    </xf>
    <xf numFmtId="0" fontId="28" fillId="0" borderId="0" xfId="36" applyFont="1" applyAlignment="1">
      <alignment vertical="center"/>
    </xf>
    <xf numFmtId="0" fontId="26" fillId="0" borderId="0" xfId="36" applyFont="1" applyAlignment="1">
      <alignment horizontal="left" vertical="center"/>
    </xf>
    <xf numFmtId="0" fontId="27" fillId="0" borderId="0" xfId="36" applyFont="1" applyAlignment="1">
      <alignment wrapText="1"/>
    </xf>
    <xf numFmtId="0" fontId="26" fillId="0" borderId="0" xfId="36" applyFont="1" applyAlignment="1">
      <alignment horizontal="right" vertical="center" wrapText="1"/>
    </xf>
    <xf numFmtId="0" fontId="26" fillId="0" borderId="0" xfId="36" applyFont="1" applyAlignment="1">
      <alignment wrapText="1"/>
    </xf>
    <xf numFmtId="2" fontId="24" fillId="0" borderId="11" xfId="0" applyNumberFormat="1" applyFont="1" applyBorder="1" applyAlignment="1">
      <alignment horizontal="center" vertical="center"/>
    </xf>
    <xf numFmtId="0" fontId="30" fillId="0" borderId="11" xfId="0" applyFont="1" applyFill="1" applyBorder="1" applyAlignment="1">
      <alignment horizontal="center" vertical="center" wrapText="1"/>
    </xf>
    <xf numFmtId="0" fontId="25" fillId="0" borderId="18" xfId="36" applyFont="1" applyBorder="1" applyAlignment="1">
      <alignment horizontal="center" vertical="center"/>
    </xf>
    <xf numFmtId="0" fontId="27" fillId="7" borderId="0" xfId="36" applyFont="1" applyFill="1"/>
    <xf numFmtId="0" fontId="25" fillId="7" borderId="0" xfId="36" applyFont="1" applyFill="1" applyAlignment="1">
      <alignment vertical="top"/>
    </xf>
    <xf numFmtId="0" fontId="26" fillId="7" borderId="0" xfId="36" applyFont="1" applyFill="1" applyAlignment="1">
      <alignment vertical="center"/>
    </xf>
    <xf numFmtId="0" fontId="26" fillId="7" borderId="0" xfId="36" applyFont="1" applyFill="1"/>
    <xf numFmtId="0" fontId="25" fillId="0" borderId="22" xfId="36" applyFont="1" applyBorder="1" applyAlignment="1">
      <alignment horizontal="center" vertical="center"/>
    </xf>
    <xf numFmtId="2" fontId="25" fillId="7" borderId="23" xfId="36" applyNumberFormat="1" applyFont="1" applyFill="1" applyBorder="1" applyAlignment="1">
      <alignment horizontal="center" vertical="center"/>
    </xf>
    <xf numFmtId="2" fontId="24" fillId="7" borderId="11" xfId="36" applyNumberFormat="1" applyFont="1" applyFill="1" applyBorder="1" applyAlignment="1">
      <alignment horizontal="center" vertical="center"/>
    </xf>
    <xf numFmtId="2" fontId="24" fillId="7" borderId="23" xfId="0" applyNumberFormat="1" applyFont="1" applyFill="1" applyBorder="1" applyAlignment="1">
      <alignment horizontal="center" vertical="center"/>
    </xf>
    <xf numFmtId="2" fontId="24" fillId="7" borderId="23" xfId="36" applyNumberFormat="1" applyFont="1" applyFill="1" applyBorder="1" applyAlignment="1">
      <alignment horizontal="center" vertical="center"/>
    </xf>
    <xf numFmtId="2" fontId="25" fillId="7" borderId="24" xfId="36" applyNumberFormat="1" applyFont="1" applyFill="1" applyBorder="1" applyAlignment="1">
      <alignment horizontal="center" vertical="center"/>
    </xf>
    <xf numFmtId="0" fontId="25" fillId="7" borderId="22" xfId="36" applyFont="1" applyFill="1" applyBorder="1" applyAlignment="1">
      <alignment horizontal="center" vertical="center"/>
    </xf>
    <xf numFmtId="4" fontId="6" fillId="3" borderId="11" xfId="0" applyNumberFormat="1" applyFont="1" applyFill="1" applyBorder="1" applyAlignment="1">
      <alignment horizontal="center"/>
    </xf>
    <xf numFmtId="4" fontId="24" fillId="0" borderId="15" xfId="0" applyNumberFormat="1" applyFont="1" applyBorder="1" applyAlignment="1">
      <alignment horizontal="center"/>
    </xf>
    <xf numFmtId="0" fontId="12" fillId="0" borderId="0" xfId="20" applyFont="1" applyAlignment="1">
      <alignment horizontal="center"/>
    </xf>
    <xf numFmtId="0" fontId="6" fillId="0" borderId="0" xfId="20" applyFont="1"/>
    <xf numFmtId="0" fontId="12" fillId="0" borderId="0" xfId="20" applyFont="1" applyAlignment="1">
      <alignment horizontal="right" vertical="top" wrapText="1"/>
    </xf>
    <xf numFmtId="0" fontId="12" fillId="0" borderId="0" xfId="20" applyFont="1" applyAlignment="1">
      <alignment horizontal="center" vertical="top" wrapText="1"/>
    </xf>
    <xf numFmtId="4" fontId="11" fillId="7" borderId="7" xfId="20" applyNumberFormat="1" applyFont="1" applyFill="1" applyBorder="1" applyAlignment="1">
      <alignment horizontal="center" vertical="center" wrapText="1"/>
    </xf>
    <xf numFmtId="0" fontId="11" fillId="0" borderId="0" xfId="20" applyFont="1" applyAlignment="1">
      <alignment horizontal="left" vertical="center"/>
    </xf>
    <xf numFmtId="0" fontId="6" fillId="0" borderId="0" xfId="20" applyFont="1" applyAlignment="1">
      <alignment horizontal="center"/>
    </xf>
    <xf numFmtId="0" fontId="7" fillId="0" borderId="0" xfId="20" applyFont="1" applyAlignment="1">
      <alignment vertical="top" wrapText="1"/>
    </xf>
    <xf numFmtId="0" fontId="10" fillId="0" borderId="0" xfId="20" applyFont="1"/>
    <xf numFmtId="0" fontId="21" fillId="0" borderId="0" xfId="20" applyFont="1" applyAlignment="1">
      <alignment vertical="top" wrapText="1"/>
    </xf>
    <xf numFmtId="0" fontId="31" fillId="0" borderId="0" xfId="20" applyFont="1" applyAlignment="1">
      <alignment horizontal="left"/>
    </xf>
    <xf numFmtId="0" fontId="21" fillId="0" borderId="29" xfId="20" applyFont="1" applyBorder="1" applyAlignment="1">
      <alignment horizontal="justify" vertical="top" wrapText="1"/>
    </xf>
    <xf numFmtId="0" fontId="21" fillId="0" borderId="30" xfId="20" applyFont="1" applyBorder="1" applyAlignment="1">
      <alignment horizontal="justify" vertical="top" wrapText="1"/>
    </xf>
    <xf numFmtId="0" fontId="21" fillId="0" borderId="33" xfId="20" applyFont="1" applyBorder="1" applyAlignment="1">
      <alignment horizontal="justify" vertical="top" wrapText="1"/>
    </xf>
    <xf numFmtId="0" fontId="22" fillId="0" borderId="34" xfId="20" applyFont="1" applyBorder="1" applyAlignment="1">
      <alignment horizontal="center" vertical="center" wrapText="1"/>
    </xf>
    <xf numFmtId="49" fontId="22" fillId="0" borderId="9" xfId="20" applyNumberFormat="1" applyFont="1" applyBorder="1" applyAlignment="1">
      <alignment horizontal="center" vertical="center" wrapText="1"/>
    </xf>
    <xf numFmtId="4" fontId="6" fillId="3" borderId="9" xfId="20" applyNumberFormat="1" applyFont="1" applyFill="1" applyBorder="1" applyAlignment="1">
      <alignment horizontal="center"/>
    </xf>
    <xf numFmtId="0" fontId="22" fillId="0" borderId="34" xfId="20" applyFont="1" applyBorder="1" applyAlignment="1">
      <alignment horizontal="center" vertical="top" wrapText="1"/>
    </xf>
    <xf numFmtId="49" fontId="22" fillId="0" borderId="9" xfId="20" applyNumberFormat="1" applyFont="1" applyBorder="1" applyAlignment="1">
      <alignment horizontal="center" vertical="top" wrapText="1"/>
    </xf>
    <xf numFmtId="4" fontId="6" fillId="0" borderId="35" xfId="20" applyNumberFormat="1" applyFont="1" applyBorder="1" applyAlignment="1">
      <alignment horizontal="center"/>
    </xf>
    <xf numFmtId="0" fontId="8" fillId="0" borderId="5" xfId="20" applyFont="1" applyBorder="1" applyAlignment="1">
      <alignment horizontal="right" vertical="top" wrapText="1"/>
    </xf>
    <xf numFmtId="4" fontId="11" fillId="6" borderId="5" xfId="20" applyNumberFormat="1" applyFont="1" applyFill="1" applyBorder="1" applyAlignment="1">
      <alignment horizontal="center" vertical="top" wrapText="1"/>
    </xf>
    <xf numFmtId="9" fontId="8" fillId="0" borderId="5" xfId="20" applyNumberFormat="1" applyFont="1" applyBorder="1" applyAlignment="1">
      <alignment horizontal="center" vertical="center" wrapText="1"/>
    </xf>
    <xf numFmtId="4" fontId="11" fillId="0" borderId="5" xfId="20" applyNumberFormat="1" applyFont="1" applyBorder="1" applyAlignment="1">
      <alignment horizontal="center" vertical="top" wrapText="1"/>
    </xf>
    <xf numFmtId="4" fontId="11" fillId="4" borderId="5" xfId="20" applyNumberFormat="1" applyFont="1" applyFill="1" applyBorder="1" applyAlignment="1">
      <alignment horizontal="center" vertical="top" wrapText="1"/>
    </xf>
    <xf numFmtId="0" fontId="21" fillId="0" borderId="0" xfId="20" applyFont="1" applyAlignment="1">
      <alignment horizontal="justify"/>
    </xf>
    <xf numFmtId="0" fontId="10" fillId="0" borderId="0" xfId="20" applyFont="1" applyAlignment="1">
      <alignment horizontal="right" vertical="top" wrapText="1"/>
    </xf>
    <xf numFmtId="0" fontId="10" fillId="0" borderId="0" xfId="20" applyFont="1" applyBorder="1" applyAlignment="1">
      <alignment vertical="top" wrapText="1"/>
    </xf>
    <xf numFmtId="0" fontId="10" fillId="0" borderId="0" xfId="20" applyFont="1" applyAlignment="1">
      <alignment horizontal="left"/>
    </xf>
    <xf numFmtId="0" fontId="7" fillId="0" borderId="0" xfId="20" applyFont="1" applyAlignment="1">
      <alignment horizontal="right" vertical="top" wrapText="1"/>
    </xf>
    <xf numFmtId="0" fontId="25" fillId="7" borderId="13" xfId="36" applyFont="1" applyFill="1" applyBorder="1" applyAlignment="1">
      <alignment horizontal="center" vertical="center"/>
    </xf>
    <xf numFmtId="2" fontId="26" fillId="7" borderId="0" xfId="36" applyNumberFormat="1" applyFont="1" applyFill="1"/>
    <xf numFmtId="16" fontId="7" fillId="0" borderId="0" xfId="20" applyNumberFormat="1" applyFont="1" applyAlignment="1">
      <alignment vertical="top" wrapText="1"/>
    </xf>
    <xf numFmtId="4" fontId="0" fillId="0" borderId="11" xfId="0" applyNumberFormat="1" applyBorder="1" applyAlignment="1">
      <alignment horizontal="center" vertical="center" wrapText="1"/>
    </xf>
    <xf numFmtId="4" fontId="0" fillId="0" borderId="11" xfId="0" applyNumberFormat="1" applyBorder="1" applyAlignment="1">
      <alignment horizontal="left" vertical="center" wrapText="1"/>
    </xf>
    <xf numFmtId="3" fontId="0" fillId="0" borderId="38" xfId="0" applyNumberFormat="1" applyBorder="1" applyAlignment="1">
      <alignment horizontal="center" vertical="center" wrapText="1"/>
    </xf>
    <xf numFmtId="2" fontId="25" fillId="0" borderId="11" xfId="0" applyNumberFormat="1" applyFont="1" applyBorder="1" applyAlignment="1">
      <alignment horizontal="center" vertical="center"/>
    </xf>
    <xf numFmtId="2" fontId="25" fillId="0" borderId="15" xfId="0" applyNumberFormat="1" applyFont="1" applyBorder="1" applyAlignment="1">
      <alignment horizontal="center" vertical="center"/>
    </xf>
    <xf numFmtId="0" fontId="25" fillId="7" borderId="39" xfId="36" applyFont="1" applyFill="1" applyBorder="1" applyAlignment="1">
      <alignment horizontal="center" vertical="center"/>
    </xf>
    <xf numFmtId="0" fontId="23" fillId="7" borderId="40" xfId="34" applyFont="1" applyFill="1" applyBorder="1" applyAlignment="1" applyProtection="1">
      <alignment horizontal="left" vertical="center" wrapText="1" indent="1"/>
      <protection locked="0"/>
    </xf>
    <xf numFmtId="0" fontId="23" fillId="7" borderId="40" xfId="34" applyFont="1" applyFill="1" applyBorder="1" applyAlignment="1" applyProtection="1">
      <alignment horizontal="center" vertical="center"/>
      <protection locked="0"/>
    </xf>
    <xf numFmtId="0" fontId="15" fillId="0" borderId="0" xfId="0" applyFont="1" applyAlignment="1">
      <alignment horizontal="center" vertical="top" wrapText="1"/>
    </xf>
    <xf numFmtId="2" fontId="24" fillId="7" borderId="11" xfId="0" applyNumberFormat="1" applyFont="1" applyFill="1" applyBorder="1" applyAlignment="1">
      <alignment horizontal="center" vertical="center"/>
    </xf>
    <xf numFmtId="0" fontId="33" fillId="0" borderId="0" xfId="27" applyFont="1" applyAlignment="1">
      <alignment horizontal="right" wrapText="1"/>
    </xf>
    <xf numFmtId="49" fontId="27" fillId="0" borderId="0" xfId="36" applyNumberFormat="1" applyFont="1" applyAlignment="1">
      <alignment horizontal="center"/>
    </xf>
    <xf numFmtId="2" fontId="27" fillId="0" borderId="0" xfId="36" applyNumberFormat="1" applyFont="1" applyAlignment="1">
      <alignment horizontal="center"/>
    </xf>
    <xf numFmtId="0" fontId="26" fillId="7" borderId="0" xfId="36" applyFont="1" applyFill="1" applyAlignment="1">
      <alignment horizontal="right" vertical="center"/>
    </xf>
    <xf numFmtId="0" fontId="26" fillId="7" borderId="0" xfId="36" applyFont="1" applyFill="1" applyAlignment="1">
      <alignment horizontal="left" vertical="center"/>
    </xf>
    <xf numFmtId="0" fontId="28" fillId="7" borderId="0" xfId="36" applyFont="1" applyFill="1" applyAlignment="1">
      <alignment vertical="center"/>
    </xf>
    <xf numFmtId="0" fontId="30" fillId="7" borderId="11" xfId="34" applyFont="1" applyFill="1" applyBorder="1" applyAlignment="1">
      <alignment horizontal="center" vertical="center" wrapText="1"/>
    </xf>
    <xf numFmtId="0" fontId="25" fillId="7" borderId="17" xfId="36" applyFont="1" applyFill="1" applyBorder="1" applyAlignment="1">
      <alignment horizontal="center" vertical="center"/>
    </xf>
    <xf numFmtId="0" fontId="26" fillId="7" borderId="5" xfId="36" applyFont="1" applyFill="1" applyBorder="1" applyAlignment="1">
      <alignment vertical="top"/>
    </xf>
    <xf numFmtId="0" fontId="27" fillId="7" borderId="0" xfId="36" applyFont="1" applyFill="1" applyAlignment="1">
      <alignment vertical="center"/>
    </xf>
    <xf numFmtId="0" fontId="8" fillId="0" borderId="5" xfId="20" applyFont="1" applyBorder="1" applyAlignment="1">
      <alignment horizontal="right" vertical="center" wrapText="1"/>
    </xf>
    <xf numFmtId="0" fontId="21" fillId="0" borderId="5" xfId="20" applyFont="1" applyBorder="1" applyAlignment="1">
      <alignment horizontal="justify" vertical="top" wrapText="1"/>
    </xf>
    <xf numFmtId="49" fontId="27" fillId="0" borderId="0" xfId="36" applyNumberFormat="1" applyFont="1"/>
    <xf numFmtId="0" fontId="0" fillId="0" borderId="0" xfId="0" applyFont="1"/>
    <xf numFmtId="4" fontId="14" fillId="0" borderId="0" xfId="0" applyNumberFormat="1" applyFont="1"/>
    <xf numFmtId="0" fontId="6" fillId="0" borderId="0" xfId="40" applyFont="1"/>
    <xf numFmtId="0" fontId="34" fillId="0" borderId="0" xfId="41" applyFont="1"/>
    <xf numFmtId="0" fontId="11" fillId="0" borderId="43" xfId="40" applyFont="1" applyBorder="1" applyAlignment="1">
      <alignment horizontal="center" vertical="top" wrapText="1"/>
    </xf>
    <xf numFmtId="0" fontId="11" fillId="0" borderId="44" xfId="40" applyFont="1" applyBorder="1" applyAlignment="1">
      <alignment horizontal="justify" vertical="top" wrapText="1"/>
    </xf>
    <xf numFmtId="4" fontId="11" fillId="3" borderId="45" xfId="40" applyNumberFormat="1" applyFont="1" applyFill="1" applyBorder="1" applyAlignment="1">
      <alignment horizontal="center" vertical="top" wrapText="1"/>
    </xf>
    <xf numFmtId="0" fontId="11" fillId="0" borderId="5" xfId="40" applyFont="1" applyBorder="1" applyAlignment="1">
      <alignment horizontal="center" vertical="center" wrapText="1"/>
    </xf>
    <xf numFmtId="0" fontId="11" fillId="0" borderId="5" xfId="40" applyFont="1" applyBorder="1" applyAlignment="1">
      <alignment horizontal="left" vertical="center" wrapText="1"/>
    </xf>
    <xf numFmtId="0" fontId="11" fillId="0" borderId="5" xfId="40" applyFont="1" applyBorder="1" applyAlignment="1">
      <alignment horizontal="center" vertical="top" wrapText="1"/>
    </xf>
    <xf numFmtId="0" fontId="11" fillId="0" borderId="5" xfId="40" applyFont="1" applyBorder="1" applyAlignment="1">
      <alignment horizontal="justify" vertical="top" wrapText="1"/>
    </xf>
    <xf numFmtId="0" fontId="7" fillId="0" borderId="5" xfId="0" applyFont="1" applyBorder="1" applyAlignment="1">
      <alignment horizontal="justify" vertical="top" wrapText="1"/>
    </xf>
    <xf numFmtId="0" fontId="8" fillId="0" borderId="5" xfId="0" applyFont="1" applyBorder="1" applyAlignment="1">
      <alignment horizontal="right" vertical="top" wrapText="1"/>
    </xf>
    <xf numFmtId="4" fontId="11" fillId="0" borderId="5" xfId="0" applyNumberFormat="1" applyFont="1" applyBorder="1" applyAlignment="1">
      <alignment horizontal="center" vertical="top" wrapText="1"/>
    </xf>
    <xf numFmtId="0" fontId="23" fillId="0" borderId="5" xfId="0" applyFont="1" applyBorder="1" applyAlignment="1">
      <alignment horizontal="right"/>
    </xf>
    <xf numFmtId="0" fontId="13" fillId="3" borderId="0" xfId="40" applyFont="1" applyFill="1" applyBorder="1" applyAlignment="1">
      <alignment horizontal="right" vertical="top" wrapText="1"/>
    </xf>
    <xf numFmtId="4" fontId="11" fillId="3" borderId="0" xfId="40" applyNumberFormat="1" applyFont="1" applyFill="1" applyBorder="1" applyAlignment="1">
      <alignment horizontal="center" vertical="top" wrapText="1"/>
    </xf>
    <xf numFmtId="0" fontId="6" fillId="3" borderId="0" xfId="40" applyFont="1" applyFill="1"/>
    <xf numFmtId="0" fontId="1" fillId="0" borderId="0" xfId="40"/>
    <xf numFmtId="0" fontId="6" fillId="0" borderId="0" xfId="40" applyFont="1" applyAlignment="1">
      <alignment horizontal="justify"/>
    </xf>
    <xf numFmtId="4" fontId="6" fillId="0" borderId="0" xfId="40" applyNumberFormat="1" applyFont="1"/>
    <xf numFmtId="0" fontId="35" fillId="0" borderId="21" xfId="0" applyFont="1" applyFill="1" applyBorder="1" applyAlignment="1">
      <alignment horizontal="right"/>
    </xf>
    <xf numFmtId="0" fontId="10" fillId="0" borderId="0" xfId="0" applyFont="1" applyAlignment="1">
      <alignment horizontal="center"/>
    </xf>
    <xf numFmtId="0" fontId="10" fillId="0" borderId="0" xfId="0" applyFont="1" applyBorder="1" applyAlignment="1">
      <alignment horizontal="center" vertical="top" wrapText="1"/>
    </xf>
    <xf numFmtId="0" fontId="34" fillId="3" borderId="0" xfId="41" applyFont="1" applyFill="1"/>
    <xf numFmtId="0" fontId="22" fillId="0" borderId="0" xfId="45" applyFont="1" applyFill="1" applyBorder="1" applyAlignment="1">
      <alignment horizontal="left" vertical="center" wrapText="1"/>
    </xf>
    <xf numFmtId="0" fontId="0" fillId="0" borderId="0" xfId="45" applyFont="1" applyFill="1" applyBorder="1" applyAlignment="1">
      <alignment vertical="center"/>
    </xf>
    <xf numFmtId="0" fontId="10" fillId="0" borderId="0" xfId="0" applyFont="1" applyBorder="1" applyAlignment="1">
      <alignment horizontal="center" vertical="top" wrapText="1"/>
    </xf>
    <xf numFmtId="0" fontId="10" fillId="0" borderId="0" xfId="0" applyFont="1" applyAlignment="1">
      <alignment horizontal="center"/>
    </xf>
    <xf numFmtId="0" fontId="38" fillId="0" borderId="0" xfId="0" applyFont="1" applyBorder="1" applyAlignment="1">
      <alignment horizontal="center" vertical="top" wrapText="1"/>
    </xf>
    <xf numFmtId="0" fontId="38" fillId="0" borderId="0" xfId="0" applyFont="1" applyAlignment="1">
      <alignment horizontal="center"/>
    </xf>
    <xf numFmtId="0" fontId="10" fillId="0" borderId="0" xfId="0" applyFont="1" applyBorder="1" applyAlignment="1">
      <alignment horizontal="center" vertical="top" wrapText="1"/>
    </xf>
    <xf numFmtId="0" fontId="10" fillId="0" borderId="0" xfId="0" applyFont="1" applyAlignment="1">
      <alignment horizontal="center"/>
    </xf>
    <xf numFmtId="0" fontId="0" fillId="0" borderId="0" xfId="40" applyFont="1"/>
    <xf numFmtId="0" fontId="39" fillId="0" borderId="0" xfId="40" applyFont="1"/>
    <xf numFmtId="0" fontId="10" fillId="0" borderId="0" xfId="41" applyFont="1"/>
    <xf numFmtId="0" fontId="8" fillId="0" borderId="5" xfId="20" applyFont="1" applyBorder="1" applyAlignment="1">
      <alignment horizontal="center" vertical="center" wrapText="1"/>
    </xf>
    <xf numFmtId="0" fontId="25" fillId="0" borderId="5" xfId="36" applyFont="1" applyBorder="1" applyAlignment="1">
      <alignment horizontal="center" vertical="center" textRotation="90" wrapText="1"/>
    </xf>
    <xf numFmtId="0" fontId="8" fillId="0" borderId="5" xfId="20" applyFont="1" applyBorder="1" applyAlignment="1">
      <alignment horizontal="right" vertical="center" wrapText="1"/>
    </xf>
    <xf numFmtId="0" fontId="21" fillId="0" borderId="5" xfId="20" applyFont="1" applyBorder="1" applyAlignment="1">
      <alignment horizontal="justify" vertical="top" wrapText="1"/>
    </xf>
    <xf numFmtId="0" fontId="8" fillId="0" borderId="5" xfId="20" applyFont="1" applyBorder="1" applyAlignment="1">
      <alignment horizontal="center" vertical="center" wrapText="1"/>
    </xf>
    <xf numFmtId="0" fontId="7" fillId="0" borderId="0" xfId="20" applyFont="1" applyAlignment="1">
      <alignment horizontal="right" vertical="top" wrapText="1"/>
    </xf>
    <xf numFmtId="0" fontId="10" fillId="0" borderId="0" xfId="0" applyFont="1" applyBorder="1" applyAlignment="1">
      <alignment horizontal="center" vertical="top" wrapText="1"/>
    </xf>
    <xf numFmtId="0" fontId="10" fillId="0" borderId="0" xfId="0" applyFont="1" applyAlignment="1">
      <alignment horizontal="center"/>
    </xf>
    <xf numFmtId="0" fontId="25" fillId="0" borderId="5" xfId="36" applyFont="1" applyBorder="1" applyAlignment="1">
      <alignment horizontal="center" vertical="center" textRotation="90" wrapText="1"/>
    </xf>
    <xf numFmtId="3" fontId="0" fillId="0" borderId="39" xfId="0" applyNumberFormat="1" applyBorder="1" applyAlignment="1">
      <alignment horizontal="center" vertical="center" wrapText="1"/>
    </xf>
    <xf numFmtId="0" fontId="30" fillId="7" borderId="39" xfId="34" applyFont="1" applyFill="1" applyBorder="1" applyAlignment="1">
      <alignment horizontal="center" vertical="center" wrapText="1"/>
    </xf>
    <xf numFmtId="4" fontId="0" fillId="0" borderId="23" xfId="0" applyNumberFormat="1" applyBorder="1" applyAlignment="1">
      <alignment horizontal="left" vertical="center" wrapText="1"/>
    </xf>
    <xf numFmtId="4" fontId="0" fillId="0" borderId="23" xfId="0" applyNumberFormat="1" applyBorder="1" applyAlignment="1">
      <alignment horizontal="center" vertical="center" wrapText="1"/>
    </xf>
    <xf numFmtId="4" fontId="32" fillId="0" borderId="23" xfId="0" applyNumberFormat="1" applyFont="1" applyFill="1" applyBorder="1" applyAlignment="1">
      <alignment horizontal="center" vertical="center" wrapText="1"/>
    </xf>
    <xf numFmtId="2" fontId="25" fillId="0" borderId="23" xfId="0" applyNumberFormat="1" applyFont="1" applyBorder="1" applyAlignment="1">
      <alignment horizontal="center" vertical="center"/>
    </xf>
    <xf numFmtId="2" fontId="24" fillId="0" borderId="23" xfId="0" applyNumberFormat="1" applyFont="1" applyBorder="1" applyAlignment="1">
      <alignment horizontal="center" vertical="center"/>
    </xf>
    <xf numFmtId="2" fontId="25" fillId="0" borderId="24" xfId="0" applyNumberFormat="1" applyFont="1" applyBorder="1" applyAlignment="1">
      <alignment horizontal="center" vertical="center"/>
    </xf>
    <xf numFmtId="0" fontId="10" fillId="0" borderId="0" xfId="0" applyFont="1" applyBorder="1" applyAlignment="1">
      <alignment horizontal="center" vertical="top" wrapText="1"/>
    </xf>
    <xf numFmtId="0" fontId="10" fillId="0" borderId="0" xfId="0" applyFont="1" applyAlignment="1">
      <alignment horizontal="center"/>
    </xf>
    <xf numFmtId="4" fontId="40" fillId="0" borderId="0" xfId="20" applyNumberFormat="1" applyFont="1"/>
    <xf numFmtId="0" fontId="10" fillId="0" borderId="0" xfId="0" applyFont="1" applyBorder="1" applyAlignment="1">
      <alignment horizontal="center" vertical="top" wrapText="1"/>
    </xf>
    <xf numFmtId="0" fontId="10" fillId="0" borderId="0" xfId="0" applyFont="1" applyAlignment="1">
      <alignment horizontal="center"/>
    </xf>
    <xf numFmtId="0" fontId="27" fillId="7" borderId="0" xfId="36" applyFont="1" applyFill="1" applyAlignment="1">
      <alignment horizontal="right" vertical="center"/>
    </xf>
    <xf numFmtId="0" fontId="27" fillId="0" borderId="0" xfId="36" applyFont="1" applyAlignment="1">
      <alignment horizontal="right" vertical="center"/>
    </xf>
    <xf numFmtId="0" fontId="10" fillId="0" borderId="0" xfId="0" applyFont="1" applyBorder="1" applyAlignment="1">
      <alignment horizontal="center" vertical="top" wrapText="1"/>
    </xf>
    <xf numFmtId="0" fontId="10" fillId="0" borderId="0" xfId="0" applyFont="1" applyAlignment="1">
      <alignment horizontal="center"/>
    </xf>
    <xf numFmtId="0" fontId="10" fillId="0" borderId="0" xfId="0" applyFont="1" applyBorder="1" applyAlignment="1">
      <alignment horizontal="center" vertical="top" wrapText="1"/>
    </xf>
    <xf numFmtId="0" fontId="10" fillId="0" borderId="0" xfId="0" applyFont="1" applyAlignment="1">
      <alignment horizontal="center"/>
    </xf>
    <xf numFmtId="0" fontId="23" fillId="0" borderId="5" xfId="0" applyFont="1" applyFill="1" applyBorder="1" applyAlignment="1">
      <alignment horizontal="right"/>
    </xf>
    <xf numFmtId="0" fontId="25" fillId="0" borderId="5" xfId="36" applyFont="1" applyBorder="1" applyAlignment="1">
      <alignment horizontal="center" vertical="center" textRotation="90" wrapText="1"/>
    </xf>
    <xf numFmtId="0" fontId="10" fillId="0" borderId="0" xfId="0" applyFont="1" applyBorder="1" applyAlignment="1">
      <alignment horizontal="center" vertical="top" wrapText="1"/>
    </xf>
    <xf numFmtId="0" fontId="10" fillId="0" borderId="0" xfId="0" applyFont="1" applyAlignment="1">
      <alignment horizontal="center"/>
    </xf>
    <xf numFmtId="0" fontId="31" fillId="7" borderId="0" xfId="27" applyFont="1" applyFill="1" applyAlignment="1">
      <alignment horizontal="right"/>
    </xf>
    <xf numFmtId="0" fontId="10" fillId="0" borderId="0" xfId="0" applyFont="1" applyBorder="1" applyAlignment="1">
      <alignment horizontal="center" vertical="top" wrapText="1"/>
    </xf>
    <xf numFmtId="0" fontId="10" fillId="0" borderId="0" xfId="0" applyFont="1" applyAlignment="1">
      <alignment horizontal="center"/>
    </xf>
    <xf numFmtId="4" fontId="11" fillId="7" borderId="5" xfId="40" applyNumberFormat="1" applyFont="1" applyFill="1" applyBorder="1" applyAlignment="1">
      <alignment horizontal="center" vertical="center" wrapText="1"/>
    </xf>
    <xf numFmtId="4" fontId="11" fillId="7" borderId="5" xfId="40" applyNumberFormat="1" applyFont="1" applyFill="1" applyBorder="1" applyAlignment="1">
      <alignment horizontal="center" vertical="top" wrapText="1"/>
    </xf>
    <xf numFmtId="2" fontId="0" fillId="0" borderId="48" xfId="0" applyNumberFormat="1" applyFont="1" applyBorder="1" applyAlignment="1">
      <alignment horizontal="center" vertical="center"/>
    </xf>
    <xf numFmtId="3" fontId="0" fillId="0" borderId="49" xfId="0" applyNumberFormat="1" applyFont="1" applyBorder="1" applyAlignment="1">
      <alignment horizontal="center" vertical="center" wrapText="1"/>
    </xf>
    <xf numFmtId="0" fontId="0" fillId="7" borderId="50" xfId="34" applyFont="1" applyFill="1" applyBorder="1" applyAlignment="1">
      <alignment horizontal="center" vertical="center" wrapText="1"/>
    </xf>
    <xf numFmtId="4" fontId="0" fillId="0" borderId="50" xfId="0" applyNumberFormat="1" applyFont="1" applyBorder="1" applyAlignment="1">
      <alignment horizontal="left" vertical="center" wrapText="1"/>
    </xf>
    <xf numFmtId="4" fontId="0" fillId="0" borderId="50" xfId="0" applyNumberFormat="1" applyFont="1" applyBorder="1" applyAlignment="1">
      <alignment horizontal="center" vertical="center" wrapText="1"/>
    </xf>
    <xf numFmtId="4" fontId="0" fillId="0" borderId="50" xfId="0" applyNumberFormat="1" applyFont="1" applyFill="1" applyBorder="1" applyAlignment="1">
      <alignment horizontal="center" vertical="center" wrapText="1"/>
    </xf>
    <xf numFmtId="2" fontId="0" fillId="7" borderId="50" xfId="0" applyNumberFormat="1" applyFont="1" applyFill="1" applyBorder="1" applyAlignment="1">
      <alignment horizontal="center" vertical="center"/>
    </xf>
    <xf numFmtId="2" fontId="0" fillId="7" borderId="50" xfId="36" applyNumberFormat="1" applyFont="1" applyFill="1" applyBorder="1" applyAlignment="1">
      <alignment horizontal="center" vertical="center"/>
    </xf>
    <xf numFmtId="2" fontId="0" fillId="0" borderId="50" xfId="0" applyNumberFormat="1" applyFont="1" applyBorder="1" applyAlignment="1">
      <alignment horizontal="center" vertical="center"/>
    </xf>
    <xf numFmtId="2" fontId="25" fillId="7" borderId="47" xfId="36" applyNumberFormat="1" applyFont="1" applyFill="1" applyBorder="1" applyAlignment="1">
      <alignment horizontal="center" vertical="center"/>
    </xf>
    <xf numFmtId="0" fontId="25" fillId="0" borderId="4" xfId="36" applyFont="1" applyBorder="1" applyAlignment="1">
      <alignment horizontal="center" vertical="center" textRotation="90" wrapText="1"/>
    </xf>
    <xf numFmtId="0" fontId="26" fillId="0" borderId="6" xfId="36" applyFont="1" applyBorder="1" applyAlignment="1">
      <alignment vertical="top"/>
    </xf>
    <xf numFmtId="0" fontId="26" fillId="7" borderId="6" xfId="36" applyFont="1" applyFill="1" applyBorder="1" applyAlignment="1">
      <alignment vertical="top"/>
    </xf>
    <xf numFmtId="165" fontId="11" fillId="0" borderId="53" xfId="36" applyNumberFormat="1" applyFont="1" applyFill="1" applyBorder="1" applyAlignment="1">
      <alignment horizontal="right" vertical="center"/>
    </xf>
    <xf numFmtId="0" fontId="25" fillId="0" borderId="29" xfId="36" applyFont="1" applyBorder="1" applyAlignment="1">
      <alignment horizontal="center" vertical="center"/>
    </xf>
    <xf numFmtId="0" fontId="30" fillId="0" borderId="30" xfId="0" applyFont="1" applyFill="1" applyBorder="1" applyAlignment="1">
      <alignment horizontal="center" vertical="center" wrapText="1"/>
    </xf>
    <xf numFmtId="0" fontId="8" fillId="4" borderId="30" xfId="33" applyFont="1" applyFill="1" applyBorder="1" applyAlignment="1" applyProtection="1">
      <alignment vertical="center" wrapText="1"/>
      <protection locked="0"/>
    </xf>
    <xf numFmtId="0" fontId="23" fillId="0" borderId="30" xfId="34" applyFont="1" applyBorder="1" applyAlignment="1" applyProtection="1">
      <alignment horizontal="center" vertical="center"/>
      <protection locked="0"/>
    </xf>
    <xf numFmtId="0" fontId="23" fillId="7" borderId="30" xfId="34" applyFont="1" applyFill="1" applyBorder="1" applyAlignment="1" applyProtection="1">
      <alignment horizontal="center" vertical="center"/>
      <protection locked="0"/>
    </xf>
    <xf numFmtId="2" fontId="24" fillId="0" borderId="30" xfId="36" applyNumberFormat="1" applyFont="1" applyBorder="1" applyAlignment="1">
      <alignment horizontal="center" vertical="center"/>
    </xf>
    <xf numFmtId="2" fontId="25" fillId="0" borderId="30" xfId="36" applyNumberFormat="1" applyFont="1" applyBorder="1" applyAlignment="1">
      <alignment horizontal="center" vertical="center"/>
    </xf>
    <xf numFmtId="2" fontId="25" fillId="7" borderId="30" xfId="36" applyNumberFormat="1" applyFont="1" applyFill="1" applyBorder="1" applyAlignment="1">
      <alignment horizontal="center" vertical="center"/>
    </xf>
    <xf numFmtId="3" fontId="0" fillId="0" borderId="34" xfId="0" applyNumberFormat="1" applyFont="1" applyBorder="1" applyAlignment="1">
      <alignment horizontal="center" vertical="center" wrapText="1"/>
    </xf>
    <xf numFmtId="4" fontId="22" fillId="0" borderId="9" xfId="0" applyNumberFormat="1" applyFont="1" applyBorder="1" applyAlignment="1">
      <alignment horizontal="left" vertical="center" wrapText="1"/>
    </xf>
    <xf numFmtId="4" fontId="0" fillId="0" borderId="9" xfId="0" applyNumberFormat="1" applyFont="1" applyBorder="1" applyAlignment="1">
      <alignment horizontal="center" vertical="center" wrapText="1"/>
    </xf>
    <xf numFmtId="2" fontId="24" fillId="7" borderId="9" xfId="0" applyNumberFormat="1" applyFont="1" applyFill="1" applyBorder="1" applyAlignment="1">
      <alignment horizontal="center" vertical="center"/>
    </xf>
    <xf numFmtId="2" fontId="25" fillId="7" borderId="9" xfId="36" applyNumberFormat="1" applyFont="1" applyFill="1" applyBorder="1" applyAlignment="1">
      <alignment horizontal="center" vertical="center"/>
    </xf>
    <xf numFmtId="2" fontId="25" fillId="0" borderId="9" xfId="0" applyNumberFormat="1" applyFont="1" applyBorder="1" applyAlignment="1">
      <alignment horizontal="center" vertical="center"/>
    </xf>
    <xf numFmtId="2" fontId="24" fillId="0" borderId="9" xfId="0" applyNumberFormat="1" applyFont="1" applyBorder="1" applyAlignment="1">
      <alignment horizontal="center" vertical="center"/>
    </xf>
    <xf numFmtId="4" fontId="0" fillId="0" borderId="9" xfId="0" applyNumberFormat="1" applyFont="1" applyBorder="1" applyAlignment="1">
      <alignment horizontal="left" vertical="center" wrapText="1"/>
    </xf>
    <xf numFmtId="0" fontId="25" fillId="0" borderId="54" xfId="36" applyFont="1" applyBorder="1" applyAlignment="1">
      <alignment horizontal="center" vertical="center"/>
    </xf>
    <xf numFmtId="0" fontId="25" fillId="7" borderId="55" xfId="36" applyFont="1" applyFill="1" applyBorder="1" applyAlignment="1">
      <alignment horizontal="center" vertical="center"/>
    </xf>
    <xf numFmtId="0" fontId="25" fillId="0" borderId="55" xfId="36" applyFont="1" applyBorder="1" applyAlignment="1">
      <alignment vertical="center" wrapText="1"/>
    </xf>
    <xf numFmtId="0" fontId="25" fillId="0" borderId="55" xfId="36" applyFont="1" applyBorder="1" applyAlignment="1">
      <alignment horizontal="center" vertical="center" wrapText="1"/>
    </xf>
    <xf numFmtId="2" fontId="25" fillId="0" borderId="55" xfId="36" applyNumberFormat="1" applyFont="1" applyBorder="1" applyAlignment="1">
      <alignment horizontal="center" vertical="center"/>
    </xf>
    <xf numFmtId="2" fontId="25" fillId="7" borderId="55" xfId="36" applyNumberFormat="1" applyFont="1" applyFill="1" applyBorder="1" applyAlignment="1">
      <alignment horizontal="center" vertical="center"/>
    </xf>
    <xf numFmtId="0" fontId="25" fillId="0" borderId="46" xfId="36" applyFont="1" applyBorder="1" applyAlignment="1">
      <alignment horizontal="center" vertical="center"/>
    </xf>
    <xf numFmtId="0" fontId="25" fillId="7" borderId="47" xfId="36" applyFont="1" applyFill="1" applyBorder="1" applyAlignment="1">
      <alignment horizontal="center" vertical="center"/>
    </xf>
    <xf numFmtId="0" fontId="23" fillId="0" borderId="47" xfId="34" applyFont="1" applyBorder="1" applyAlignment="1" applyProtection="1">
      <alignment horizontal="center" vertical="center"/>
      <protection locked="0"/>
    </xf>
    <xf numFmtId="0" fontId="23" fillId="7" borderId="47" xfId="34" applyFont="1" applyFill="1" applyBorder="1" applyAlignment="1" applyProtection="1">
      <alignment horizontal="center" vertical="center"/>
      <protection locked="0"/>
    </xf>
    <xf numFmtId="2" fontId="24" fillId="7" borderId="47" xfId="36" applyNumberFormat="1" applyFont="1" applyFill="1" applyBorder="1" applyAlignment="1">
      <alignment horizontal="center" vertical="center"/>
    </xf>
    <xf numFmtId="2" fontId="25" fillId="0" borderId="47" xfId="36" applyNumberFormat="1" applyFont="1" applyBorder="1" applyAlignment="1">
      <alignment horizontal="center" vertical="center"/>
    </xf>
    <xf numFmtId="2" fontId="24" fillId="0" borderId="47" xfId="36" applyNumberFormat="1" applyFont="1" applyBorder="1" applyAlignment="1">
      <alignment horizontal="center" vertical="center"/>
    </xf>
    <xf numFmtId="0" fontId="0" fillId="7" borderId="9" xfId="34" applyFont="1" applyFill="1" applyBorder="1" applyAlignment="1">
      <alignment horizontal="center" vertical="center" wrapText="1"/>
    </xf>
    <xf numFmtId="4" fontId="0" fillId="0" borderId="9" xfId="0" applyNumberFormat="1" applyFont="1" applyFill="1" applyBorder="1" applyAlignment="1">
      <alignment horizontal="center" vertical="center" wrapText="1"/>
    </xf>
    <xf numFmtId="2" fontId="0" fillId="7" borderId="9" xfId="0" applyNumberFormat="1" applyFont="1" applyFill="1" applyBorder="1" applyAlignment="1">
      <alignment horizontal="center" vertical="center"/>
    </xf>
    <xf numFmtId="2" fontId="0" fillId="0" borderId="9" xfId="0" applyNumberFormat="1" applyFont="1" applyBorder="1" applyAlignment="1">
      <alignment horizontal="center" vertical="center"/>
    </xf>
    <xf numFmtId="2" fontId="0" fillId="0" borderId="35" xfId="0" applyNumberFormat="1" applyFont="1" applyBorder="1" applyAlignment="1">
      <alignment horizontal="center" vertical="center"/>
    </xf>
    <xf numFmtId="2" fontId="25" fillId="0" borderId="56" xfId="36" applyNumberFormat="1" applyFont="1" applyBorder="1" applyAlignment="1">
      <alignment horizontal="center" vertical="center"/>
    </xf>
    <xf numFmtId="2" fontId="25" fillId="0" borderId="33" xfId="36" applyNumberFormat="1" applyFont="1" applyBorder="1" applyAlignment="1">
      <alignment horizontal="center" vertical="center"/>
    </xf>
    <xf numFmtId="0" fontId="25" fillId="7" borderId="54" xfId="36" applyFont="1" applyFill="1" applyBorder="1" applyAlignment="1">
      <alignment horizontal="center" vertical="center"/>
    </xf>
    <xf numFmtId="0" fontId="23" fillId="7" borderId="55" xfId="34" applyFont="1" applyFill="1" applyBorder="1" applyAlignment="1" applyProtection="1">
      <alignment horizontal="left" vertical="center" wrapText="1" indent="1"/>
      <protection locked="0"/>
    </xf>
    <xf numFmtId="0" fontId="23" fillId="7" borderId="55" xfId="34" applyFont="1" applyFill="1" applyBorder="1" applyAlignment="1" applyProtection="1">
      <alignment horizontal="center" vertical="center"/>
      <protection locked="0"/>
    </xf>
    <xf numFmtId="2" fontId="24" fillId="7" borderId="55" xfId="36" applyNumberFormat="1" applyFont="1" applyFill="1" applyBorder="1" applyAlignment="1">
      <alignment horizontal="center" vertical="center"/>
    </xf>
    <xf numFmtId="2" fontId="25" fillId="7" borderId="56" xfId="36" applyNumberFormat="1" applyFont="1" applyFill="1" applyBorder="1" applyAlignment="1">
      <alignment horizontal="center" vertical="center"/>
    </xf>
    <xf numFmtId="2" fontId="25" fillId="0" borderId="35" xfId="0" applyNumberFormat="1" applyFont="1" applyBorder="1" applyAlignment="1">
      <alignment horizontal="center" vertical="center"/>
    </xf>
    <xf numFmtId="2" fontId="24" fillId="0" borderId="30" xfId="0" applyNumberFormat="1" applyFont="1" applyBorder="1" applyAlignment="1">
      <alignment horizontal="center" vertical="center"/>
    </xf>
    <xf numFmtId="0" fontId="6" fillId="0" borderId="9" xfId="0" applyFont="1" applyFill="1" applyBorder="1" applyAlignment="1">
      <alignment horizontal="center" vertical="center" wrapText="1"/>
    </xf>
    <xf numFmtId="0" fontId="6" fillId="7" borderId="9" xfId="34" applyFont="1" applyFill="1" applyBorder="1" applyAlignment="1" applyProtection="1">
      <alignment horizontal="center" vertical="center"/>
      <protection locked="0"/>
    </xf>
    <xf numFmtId="0" fontId="41" fillId="7" borderId="9" xfId="0" applyFont="1" applyFill="1" applyBorder="1" applyAlignment="1">
      <alignment horizontal="center" vertical="center" wrapText="1"/>
    </xf>
    <xf numFmtId="2" fontId="6" fillId="0" borderId="9" xfId="47" applyNumberFormat="1" applyFont="1" applyFill="1" applyBorder="1" applyAlignment="1">
      <alignment horizontal="center" vertical="center"/>
    </xf>
    <xf numFmtId="2" fontId="25" fillId="0" borderId="9" xfId="19" applyNumberFormat="1" applyFont="1" applyFill="1" applyBorder="1" applyAlignment="1">
      <alignment horizontal="center" vertical="center" wrapText="1"/>
    </xf>
    <xf numFmtId="2" fontId="25" fillId="7" borderId="9" xfId="19" applyNumberFormat="1" applyFont="1" applyFill="1" applyBorder="1" applyAlignment="1">
      <alignment horizontal="center" vertical="center" wrapText="1"/>
    </xf>
    <xf numFmtId="2" fontId="6" fillId="7" borderId="9" xfId="0" applyNumberFormat="1" applyFont="1" applyFill="1" applyBorder="1" applyAlignment="1">
      <alignment horizontal="center" vertical="center"/>
    </xf>
    <xf numFmtId="0" fontId="25" fillId="10" borderId="9" xfId="0" applyFont="1" applyFill="1" applyBorder="1" applyAlignment="1">
      <alignment horizontal="center" vertical="center"/>
    </xf>
    <xf numFmtId="0" fontId="25" fillId="0" borderId="30" xfId="36" applyFont="1" applyBorder="1" applyAlignment="1">
      <alignment horizontal="center" vertical="center"/>
    </xf>
    <xf numFmtId="0" fontId="25" fillId="0" borderId="34" xfId="0" applyFont="1" applyFill="1" applyBorder="1" applyAlignment="1">
      <alignment horizontal="center" vertical="center"/>
    </xf>
    <xf numFmtId="0" fontId="25" fillId="7" borderId="9" xfId="36" applyFont="1" applyFill="1" applyBorder="1"/>
    <xf numFmtId="0" fontId="25" fillId="0" borderId="9" xfId="0" applyFont="1" applyFill="1" applyBorder="1" applyAlignment="1">
      <alignment horizontal="left" vertical="center" wrapText="1"/>
    </xf>
    <xf numFmtId="0" fontId="25" fillId="0" borderId="9" xfId="0" applyFont="1" applyFill="1" applyBorder="1" applyAlignment="1">
      <alignment horizontal="center" vertical="center"/>
    </xf>
    <xf numFmtId="0" fontId="25" fillId="0" borderId="9" xfId="47" applyFont="1" applyFill="1" applyBorder="1" applyAlignment="1">
      <alignment horizontal="center" vertical="center"/>
    </xf>
    <xf numFmtId="4" fontId="25" fillId="0" borderId="9" xfId="0" applyNumberFormat="1" applyFont="1" applyFill="1" applyBorder="1" applyAlignment="1" applyProtection="1">
      <alignment horizontal="center" vertical="center" shrinkToFit="1"/>
      <protection locked="0"/>
    </xf>
    <xf numFmtId="2" fontId="25" fillId="0" borderId="9" xfId="0" applyNumberFormat="1" applyFont="1" applyFill="1" applyBorder="1" applyAlignment="1">
      <alignment horizontal="center" vertical="center"/>
    </xf>
    <xf numFmtId="2" fontId="25" fillId="0" borderId="9" xfId="47" applyNumberFormat="1" applyFont="1" applyBorder="1" applyAlignment="1">
      <alignment horizontal="center" vertical="center"/>
    </xf>
    <xf numFmtId="0" fontId="25" fillId="0" borderId="9" xfId="20" applyFont="1" applyBorder="1" applyAlignment="1">
      <alignment horizontal="center"/>
    </xf>
    <xf numFmtId="0" fontId="25" fillId="0" borderId="9" xfId="0" applyFont="1" applyFill="1" applyBorder="1" applyAlignment="1">
      <alignment horizontal="center" vertical="center" wrapText="1"/>
    </xf>
    <xf numFmtId="0" fontId="25" fillId="0" borderId="9" xfId="20" applyFont="1" applyBorder="1" applyAlignment="1">
      <alignment horizontal="center" vertical="center"/>
    </xf>
    <xf numFmtId="0" fontId="25" fillId="0" borderId="9" xfId="0" applyFont="1" applyBorder="1" applyAlignment="1">
      <alignment horizontal="center" vertical="center"/>
    </xf>
    <xf numFmtId="0" fontId="29" fillId="0" borderId="9" xfId="0" applyFont="1" applyFill="1" applyBorder="1" applyAlignment="1"/>
    <xf numFmtId="0" fontId="29" fillId="0" borderId="9" xfId="0" applyFont="1" applyFill="1" applyBorder="1" applyAlignment="1">
      <alignment horizontal="center" vertical="center"/>
    </xf>
    <xf numFmtId="2" fontId="25" fillId="7" borderId="9" xfId="0" applyNumberFormat="1" applyFont="1" applyFill="1" applyBorder="1" applyAlignment="1">
      <alignment horizontal="center" vertical="center"/>
    </xf>
    <xf numFmtId="0" fontId="25" fillId="0" borderId="9" xfId="0" applyFont="1" applyBorder="1" applyAlignment="1">
      <alignment horizontal="center" vertical="center" wrapText="1"/>
    </xf>
    <xf numFmtId="2" fontId="25" fillId="0" borderId="30" xfId="0" applyNumberFormat="1" applyFont="1" applyBorder="1" applyAlignment="1">
      <alignment horizontal="center" vertical="center"/>
    </xf>
    <xf numFmtId="2" fontId="25" fillId="0" borderId="33" xfId="0" applyNumberFormat="1" applyFont="1" applyBorder="1" applyAlignment="1">
      <alignment horizontal="center" vertical="center"/>
    </xf>
    <xf numFmtId="0" fontId="25" fillId="7" borderId="34" xfId="0" applyFont="1" applyFill="1" applyBorder="1" applyAlignment="1">
      <alignment horizontal="center" vertical="center"/>
    </xf>
    <xf numFmtId="0" fontId="25" fillId="7" borderId="9" xfId="0" applyFont="1" applyFill="1" applyBorder="1" applyAlignment="1">
      <alignment horizontal="left" vertical="center" wrapText="1"/>
    </xf>
    <xf numFmtId="0" fontId="25" fillId="7" borderId="9" xfId="0" applyFont="1" applyFill="1" applyBorder="1" applyAlignment="1">
      <alignment horizontal="center" vertical="center" wrapText="1"/>
    </xf>
    <xf numFmtId="0" fontId="25" fillId="7" borderId="9" xfId="46" applyFont="1" applyFill="1" applyBorder="1" applyAlignment="1">
      <alignment horizontal="center" vertical="center"/>
    </xf>
    <xf numFmtId="0" fontId="25" fillId="7" borderId="9" xfId="0" applyFont="1" applyFill="1" applyBorder="1" applyAlignment="1">
      <alignment horizontal="center" vertical="center"/>
    </xf>
    <xf numFmtId="4" fontId="25" fillId="7" borderId="9" xfId="0" applyNumberFormat="1" applyFont="1" applyFill="1" applyBorder="1" applyAlignment="1" applyProtection="1">
      <alignment horizontal="center" vertical="center" shrinkToFit="1"/>
      <protection locked="0"/>
    </xf>
    <xf numFmtId="2" fontId="25" fillId="7" borderId="9" xfId="47" applyNumberFormat="1" applyFont="1" applyFill="1" applyBorder="1" applyAlignment="1">
      <alignment horizontal="center" vertical="center"/>
    </xf>
    <xf numFmtId="2" fontId="25" fillId="7" borderId="35" xfId="0" applyNumberFormat="1" applyFont="1" applyFill="1" applyBorder="1" applyAlignment="1">
      <alignment horizontal="center" vertical="center"/>
    </xf>
    <xf numFmtId="0" fontId="29" fillId="7" borderId="9" xfId="0" applyFont="1" applyFill="1" applyBorder="1" applyAlignment="1">
      <alignment vertical="center" wrapText="1"/>
    </xf>
    <xf numFmtId="0" fontId="29" fillId="7" borderId="9" xfId="0" applyFont="1" applyFill="1" applyBorder="1" applyAlignment="1">
      <alignment horizontal="center" vertical="center" wrapText="1"/>
    </xf>
    <xf numFmtId="0" fontId="25" fillId="7" borderId="9" xfId="0" applyFont="1" applyFill="1" applyBorder="1" applyAlignment="1">
      <alignment horizontal="left" wrapText="1"/>
    </xf>
    <xf numFmtId="3" fontId="0" fillId="0" borderId="54" xfId="0" applyNumberFormat="1" applyBorder="1" applyAlignment="1">
      <alignment horizontal="center" vertical="center" wrapText="1"/>
    </xf>
    <xf numFmtId="0" fontId="30" fillId="7" borderId="55" xfId="34" applyFont="1" applyFill="1" applyBorder="1" applyAlignment="1">
      <alignment horizontal="center" vertical="center" wrapText="1"/>
    </xf>
    <xf numFmtId="4" fontId="0" fillId="0" borderId="55" xfId="0" applyNumberFormat="1" applyBorder="1" applyAlignment="1">
      <alignment horizontal="left" vertical="center" wrapText="1"/>
    </xf>
    <xf numFmtId="4" fontId="0" fillId="0" borderId="55" xfId="0" applyNumberFormat="1" applyBorder="1" applyAlignment="1">
      <alignment horizontal="center" vertical="center" wrapText="1"/>
    </xf>
    <xf numFmtId="4" fontId="32" fillId="0" borderId="55" xfId="0" applyNumberFormat="1" applyFont="1" applyFill="1" applyBorder="1" applyAlignment="1">
      <alignment horizontal="center" vertical="center" wrapText="1"/>
    </xf>
    <xf numFmtId="2" fontId="24" fillId="7" borderId="55" xfId="0" applyNumberFormat="1" applyFont="1" applyFill="1" applyBorder="1" applyAlignment="1">
      <alignment horizontal="center" vertical="center"/>
    </xf>
    <xf numFmtId="2" fontId="25" fillId="0" borderId="55" xfId="0" applyNumberFormat="1" applyFont="1" applyBorder="1" applyAlignment="1">
      <alignment horizontal="center" vertical="center"/>
    </xf>
    <xf numFmtId="2" fontId="24" fillId="0" borderId="55" xfId="0" applyNumberFormat="1" applyFont="1" applyBorder="1" applyAlignment="1">
      <alignment horizontal="center" vertical="center"/>
    </xf>
    <xf numFmtId="2" fontId="25" fillId="0" borderId="56" xfId="0" applyNumberFormat="1" applyFont="1" applyBorder="1" applyAlignment="1">
      <alignment horizontal="center" vertical="center"/>
    </xf>
    <xf numFmtId="0" fontId="25" fillId="0" borderId="34" xfId="0" applyFont="1" applyFill="1" applyBorder="1" applyAlignment="1">
      <alignment horizontal="center"/>
    </xf>
    <xf numFmtId="0" fontId="25" fillId="0" borderId="9" xfId="0" applyFont="1" applyFill="1" applyBorder="1" applyAlignment="1">
      <alignment horizontal="left" vertical="center"/>
    </xf>
    <xf numFmtId="0" fontId="25" fillId="0" borderId="9" xfId="0" applyFont="1" applyBorder="1" applyAlignment="1">
      <alignment vertical="center" wrapText="1"/>
    </xf>
    <xf numFmtId="0" fontId="25" fillId="0" borderId="55" xfId="36" applyFont="1" applyBorder="1" applyAlignment="1">
      <alignment horizontal="center" vertical="center"/>
    </xf>
    <xf numFmtId="3" fontId="25" fillId="0" borderId="34" xfId="0" applyNumberFormat="1" applyFont="1" applyBorder="1" applyAlignment="1">
      <alignment horizontal="center" vertical="center" wrapText="1"/>
    </xf>
    <xf numFmtId="0" fontId="25" fillId="7" borderId="9" xfId="34" applyFont="1" applyFill="1" applyBorder="1" applyAlignment="1">
      <alignment horizontal="center" vertical="center" wrapText="1"/>
    </xf>
    <xf numFmtId="4" fontId="25" fillId="0" borderId="9" xfId="0" applyNumberFormat="1" applyFont="1" applyBorder="1" applyAlignment="1">
      <alignment horizontal="left" vertical="center" wrapText="1"/>
    </xf>
    <xf numFmtId="4" fontId="25" fillId="0" borderId="9" xfId="0" applyNumberFormat="1" applyFont="1" applyBorder="1" applyAlignment="1">
      <alignment horizontal="center" vertical="center" wrapText="1"/>
    </xf>
    <xf numFmtId="3" fontId="25" fillId="0" borderId="9" xfId="0" applyNumberFormat="1" applyFont="1" applyFill="1" applyBorder="1" applyAlignment="1">
      <alignment horizontal="center" vertical="center" wrapText="1"/>
    </xf>
    <xf numFmtId="0" fontId="25" fillId="0" borderId="9" xfId="0" applyFont="1" applyFill="1" applyBorder="1" applyAlignment="1">
      <alignment vertical="center" wrapText="1"/>
    </xf>
    <xf numFmtId="0" fontId="25" fillId="0" borderId="9" xfId="0" applyFont="1" applyFill="1" applyBorder="1" applyAlignment="1">
      <alignment horizontal="left" wrapText="1"/>
    </xf>
    <xf numFmtId="0" fontId="25" fillId="0" borderId="9" xfId="0" applyFont="1" applyFill="1" applyBorder="1" applyAlignment="1">
      <alignment horizontal="center"/>
    </xf>
    <xf numFmtId="3" fontId="0" fillId="0" borderId="9" xfId="0" applyNumberFormat="1" applyFont="1" applyFill="1" applyBorder="1" applyAlignment="1">
      <alignment horizontal="center" vertical="center" wrapText="1"/>
    </xf>
    <xf numFmtId="2" fontId="25" fillId="0" borderId="9" xfId="20" applyNumberFormat="1" applyFont="1" applyBorder="1" applyAlignment="1">
      <alignment horizontal="center" vertical="center"/>
    </xf>
    <xf numFmtId="2" fontId="25" fillId="0" borderId="9" xfId="20" applyNumberFormat="1" applyFont="1" applyBorder="1" applyAlignment="1">
      <alignment horizontal="center"/>
    </xf>
    <xf numFmtId="169" fontId="25" fillId="7" borderId="9" xfId="0" applyNumberFormat="1" applyFont="1" applyFill="1" applyBorder="1" applyAlignment="1">
      <alignment horizontal="center" vertical="center"/>
    </xf>
    <xf numFmtId="0" fontId="25" fillId="0" borderId="9" xfId="0" applyFont="1" applyFill="1" applyBorder="1" applyAlignment="1">
      <alignment horizontal="center" wrapText="1"/>
    </xf>
    <xf numFmtId="2" fontId="25" fillId="7" borderId="9" xfId="41" applyNumberFormat="1" applyFont="1" applyFill="1" applyBorder="1" applyAlignment="1">
      <alignment horizontal="center" vertical="center"/>
    </xf>
    <xf numFmtId="0" fontId="25" fillId="0" borderId="9" xfId="0" applyFont="1" applyBorder="1" applyAlignment="1">
      <alignment horizontal="left" vertical="center" wrapText="1"/>
    </xf>
    <xf numFmtId="1" fontId="25" fillId="0" borderId="9" xfId="0" applyNumberFormat="1" applyFont="1" applyFill="1" applyBorder="1" applyAlignment="1">
      <alignment horizontal="center" vertical="center" wrapText="1"/>
    </xf>
    <xf numFmtId="3" fontId="25" fillId="3" borderId="9" xfId="0" applyNumberFormat="1" applyFont="1" applyFill="1" applyBorder="1" applyAlignment="1">
      <alignment horizontal="center" vertical="center" wrapText="1"/>
    </xf>
    <xf numFmtId="0" fontId="29" fillId="7" borderId="9" xfId="0" applyFont="1" applyFill="1" applyBorder="1" applyAlignment="1">
      <alignment wrapText="1"/>
    </xf>
    <xf numFmtId="0" fontId="29" fillId="7" borderId="9" xfId="0" applyFont="1" applyFill="1" applyBorder="1" applyAlignment="1">
      <alignment horizontal="left" vertical="center" wrapText="1"/>
    </xf>
    <xf numFmtId="0" fontId="25" fillId="0" borderId="59" xfId="36" applyFont="1" applyBorder="1" applyAlignment="1">
      <alignment horizontal="center" vertical="center"/>
    </xf>
    <xf numFmtId="0" fontId="25" fillId="7" borderId="60" xfId="36" applyFont="1" applyFill="1" applyBorder="1" applyAlignment="1">
      <alignment horizontal="center" vertical="center"/>
    </xf>
    <xf numFmtId="2" fontId="24" fillId="7" borderId="61" xfId="36" applyNumberFormat="1" applyFont="1" applyFill="1" applyBorder="1" applyAlignment="1">
      <alignment horizontal="center" vertical="center"/>
    </xf>
    <xf numFmtId="2" fontId="25" fillId="7" borderId="61" xfId="36" applyNumberFormat="1" applyFont="1" applyFill="1" applyBorder="1" applyAlignment="1">
      <alignment horizontal="center" vertical="center"/>
    </xf>
    <xf numFmtId="2" fontId="25" fillId="0" borderId="61" xfId="36" applyNumberFormat="1" applyFont="1" applyBorder="1" applyAlignment="1">
      <alignment horizontal="center" vertical="center"/>
    </xf>
    <xf numFmtId="2" fontId="24" fillId="0" borderId="61" xfId="36" applyNumberFormat="1" applyFont="1" applyBorder="1" applyAlignment="1">
      <alignment horizontal="center" vertical="center"/>
    </xf>
    <xf numFmtId="2" fontId="25" fillId="0" borderId="62" xfId="36" applyNumberFormat="1" applyFont="1" applyBorder="1" applyAlignment="1">
      <alignment horizontal="center" vertical="center"/>
    </xf>
    <xf numFmtId="0" fontId="25" fillId="0" borderId="63" xfId="36" applyFont="1" applyBorder="1" applyAlignment="1">
      <alignment horizontal="center" vertical="center"/>
    </xf>
    <xf numFmtId="0" fontId="25" fillId="7" borderId="64" xfId="36" applyFont="1" applyFill="1" applyBorder="1" applyAlignment="1">
      <alignment horizontal="center" vertical="center"/>
    </xf>
    <xf numFmtId="0" fontId="25" fillId="0" borderId="65" xfId="36" applyFont="1" applyBorder="1" applyAlignment="1">
      <alignment vertical="center" wrapText="1"/>
    </xf>
    <xf numFmtId="0" fontId="25" fillId="0" borderId="65" xfId="36" applyFont="1" applyBorder="1" applyAlignment="1">
      <alignment horizontal="center" vertical="center" wrapText="1"/>
    </xf>
    <xf numFmtId="2" fontId="25" fillId="0" borderId="65" xfId="36" applyNumberFormat="1" applyFont="1" applyBorder="1" applyAlignment="1">
      <alignment horizontal="center" vertical="center"/>
    </xf>
    <xf numFmtId="2" fontId="25" fillId="7" borderId="65" xfId="36" applyNumberFormat="1" applyFont="1" applyFill="1" applyBorder="1" applyAlignment="1">
      <alignment horizontal="center" vertical="center"/>
    </xf>
    <xf numFmtId="2" fontId="25" fillId="0" borderId="66" xfId="36" applyNumberFormat="1" applyFont="1" applyBorder="1" applyAlignment="1">
      <alignment horizontal="center" vertical="center"/>
    </xf>
    <xf numFmtId="0" fontId="25" fillId="0" borderId="9" xfId="0" applyFont="1" applyBorder="1" applyAlignment="1">
      <alignment horizontal="center"/>
    </xf>
    <xf numFmtId="0" fontId="25" fillId="0" borderId="9" xfId="0" applyFont="1" applyFill="1" applyBorder="1" applyAlignment="1"/>
    <xf numFmtId="0" fontId="25" fillId="7" borderId="34" xfId="0" applyFont="1" applyFill="1" applyBorder="1" applyAlignment="1">
      <alignment horizontal="center"/>
    </xf>
    <xf numFmtId="0" fontId="25" fillId="0" borderId="9" xfId="0" applyFont="1" applyBorder="1" applyAlignment="1">
      <alignment wrapText="1"/>
    </xf>
    <xf numFmtId="0" fontId="25" fillId="0" borderId="9" xfId="0" applyFont="1" applyBorder="1" applyAlignment="1">
      <alignment horizontal="left" wrapText="1"/>
    </xf>
    <xf numFmtId="0" fontId="29" fillId="7" borderId="9" xfId="0" applyFont="1" applyFill="1" applyBorder="1" applyAlignment="1">
      <alignment horizontal="left" wrapText="1"/>
    </xf>
    <xf numFmtId="0" fontId="29" fillId="7" borderId="9" xfId="0" applyFont="1" applyFill="1" applyBorder="1" applyAlignment="1">
      <alignment horizontal="center" wrapText="1"/>
    </xf>
    <xf numFmtId="0" fontId="25" fillId="0" borderId="9" xfId="0" applyFont="1" applyFill="1" applyBorder="1" applyAlignment="1">
      <alignment wrapText="1"/>
    </xf>
    <xf numFmtId="0" fontId="25" fillId="0" borderId="9" xfId="0" applyFont="1" applyFill="1" applyBorder="1" applyAlignment="1">
      <alignment horizontal="left"/>
    </xf>
    <xf numFmtId="0" fontId="25" fillId="0" borderId="9" xfId="0" applyFont="1" applyBorder="1" applyAlignment="1">
      <alignment horizontal="left"/>
    </xf>
    <xf numFmtId="0" fontId="25" fillId="0" borderId="9" xfId="0" applyFont="1" applyFill="1" applyBorder="1"/>
    <xf numFmtId="0" fontId="29" fillId="7" borderId="9" xfId="0" applyFont="1" applyFill="1" applyBorder="1" applyAlignment="1">
      <alignment horizontal="left"/>
    </xf>
    <xf numFmtId="0" fontId="25" fillId="7" borderId="67" xfId="36" applyFont="1" applyFill="1" applyBorder="1" applyAlignment="1">
      <alignment horizontal="center" vertical="center"/>
    </xf>
    <xf numFmtId="0" fontId="25" fillId="7" borderId="68" xfId="36" applyFont="1" applyFill="1" applyBorder="1" applyAlignment="1">
      <alignment horizontal="center" vertical="center"/>
    </xf>
    <xf numFmtId="0" fontId="23" fillId="7" borderId="69" xfId="34" applyFont="1" applyFill="1" applyBorder="1" applyAlignment="1" applyProtection="1">
      <alignment horizontal="left" vertical="center" wrapText="1" indent="1"/>
      <protection locked="0"/>
    </xf>
    <xf numFmtId="0" fontId="23" fillId="7" borderId="69" xfId="34" applyFont="1" applyFill="1" applyBorder="1" applyAlignment="1" applyProtection="1">
      <alignment horizontal="center" vertical="center"/>
      <protection locked="0"/>
    </xf>
    <xf numFmtId="2" fontId="25" fillId="7" borderId="70" xfId="36" applyNumberFormat="1" applyFont="1" applyFill="1" applyBorder="1" applyAlignment="1">
      <alignment horizontal="center" vertical="center"/>
    </xf>
    <xf numFmtId="2" fontId="24" fillId="7" borderId="70" xfId="36" applyNumberFormat="1" applyFont="1" applyFill="1" applyBorder="1" applyAlignment="1">
      <alignment horizontal="center" vertical="center"/>
    </xf>
    <xf numFmtId="2" fontId="25" fillId="7" borderId="71" xfId="36" applyNumberFormat="1" applyFont="1" applyFill="1" applyBorder="1" applyAlignment="1">
      <alignment horizontal="center" vertical="center"/>
    </xf>
    <xf numFmtId="0" fontId="6" fillId="7" borderId="9" xfId="0" applyFont="1" applyFill="1" applyBorder="1" applyAlignment="1">
      <alignment horizontal="center" vertical="center" wrapText="1"/>
    </xf>
    <xf numFmtId="0" fontId="22" fillId="7" borderId="9" xfId="33" applyFont="1" applyFill="1" applyBorder="1" applyAlignment="1" applyProtection="1">
      <alignment vertical="center" wrapText="1"/>
      <protection locked="0"/>
    </xf>
    <xf numFmtId="2" fontId="25" fillId="7" borderId="35" xfId="36" applyNumberFormat="1" applyFont="1" applyFill="1" applyBorder="1" applyAlignment="1">
      <alignment horizontal="center" vertical="center"/>
    </xf>
    <xf numFmtId="0" fontId="6" fillId="0" borderId="34" xfId="0" applyFont="1" applyBorder="1" applyAlignment="1">
      <alignment horizontal="center" vertical="center" wrapText="1"/>
    </xf>
    <xf numFmtId="0" fontId="6" fillId="0" borderId="9" xfId="0" applyFont="1" applyBorder="1" applyAlignment="1">
      <alignment horizontal="left" vertical="center" wrapText="1"/>
    </xf>
    <xf numFmtId="0" fontId="6" fillId="0" borderId="9" xfId="0" applyFont="1" applyBorder="1" applyAlignment="1">
      <alignment horizontal="center" vertical="center" wrapText="1"/>
    </xf>
    <xf numFmtId="0" fontId="6" fillId="0" borderId="9" xfId="0" applyFont="1" applyBorder="1" applyAlignment="1">
      <alignment horizontal="center" vertical="top" wrapText="1"/>
    </xf>
    <xf numFmtId="2" fontId="6" fillId="0" borderId="9" xfId="0" applyNumberFormat="1" applyFont="1" applyBorder="1" applyAlignment="1">
      <alignment horizontal="center" vertical="center" wrapText="1"/>
    </xf>
    <xf numFmtId="2" fontId="6" fillId="0" borderId="9" xfId="0" applyNumberFormat="1" applyFont="1" applyBorder="1" applyAlignment="1">
      <alignment horizontal="center" vertical="center"/>
    </xf>
    <xf numFmtId="0" fontId="22" fillId="0" borderId="9" xfId="0" applyFont="1" applyBorder="1" applyAlignment="1">
      <alignment vertical="center" wrapText="1"/>
    </xf>
    <xf numFmtId="0" fontId="6" fillId="0" borderId="9" xfId="0" applyFont="1" applyBorder="1" applyAlignment="1">
      <alignment vertical="center" wrapText="1"/>
    </xf>
    <xf numFmtId="0" fontId="6" fillId="7" borderId="34" xfId="34" applyFont="1" applyFill="1" applyBorder="1" applyAlignment="1">
      <alignment horizontal="center" vertical="center" wrapText="1"/>
    </xf>
    <xf numFmtId="4" fontId="6" fillId="0" borderId="9" xfId="0" applyNumberFormat="1" applyFont="1" applyBorder="1" applyAlignment="1">
      <alignment horizontal="left" vertical="center" wrapText="1"/>
    </xf>
    <xf numFmtId="4" fontId="6" fillId="0" borderId="9" xfId="0" applyNumberFormat="1" applyFont="1" applyBorder="1" applyAlignment="1">
      <alignment horizontal="center" vertical="center" wrapText="1"/>
    </xf>
    <xf numFmtId="4" fontId="6" fillId="0" borderId="9" xfId="0" applyNumberFormat="1" applyFont="1" applyFill="1" applyBorder="1" applyAlignment="1">
      <alignment horizontal="center" vertical="center" wrapText="1"/>
    </xf>
    <xf numFmtId="0" fontId="6" fillId="0" borderId="34" xfId="0" applyFont="1" applyBorder="1" applyAlignment="1">
      <alignment horizontal="center" vertical="top"/>
    </xf>
    <xf numFmtId="0" fontId="6" fillId="0" borderId="9" xfId="0" applyFont="1" applyBorder="1" applyAlignment="1">
      <alignment horizontal="center" vertical="top"/>
    </xf>
    <xf numFmtId="0" fontId="6" fillId="0" borderId="9" xfId="0" applyFont="1" applyFill="1" applyBorder="1" applyAlignment="1">
      <alignment horizontal="center" vertical="top"/>
    </xf>
    <xf numFmtId="4" fontId="6" fillId="0" borderId="9" xfId="0" applyNumberFormat="1" applyFont="1" applyFill="1" applyBorder="1" applyAlignment="1" applyProtection="1">
      <alignment horizontal="center" vertical="center" shrinkToFit="1"/>
      <protection locked="0"/>
    </xf>
    <xf numFmtId="2" fontId="6" fillId="0" borderId="9" xfId="0" applyNumberFormat="1" applyFont="1" applyFill="1" applyBorder="1" applyAlignment="1">
      <alignment horizontal="center"/>
    </xf>
    <xf numFmtId="2" fontId="6" fillId="3" borderId="9" xfId="0" applyNumberFormat="1" applyFont="1" applyFill="1" applyBorder="1" applyAlignment="1">
      <alignment horizontal="center" vertical="center"/>
    </xf>
    <xf numFmtId="0" fontId="6" fillId="0" borderId="9" xfId="0" applyFont="1" applyFill="1" applyBorder="1" applyAlignment="1">
      <alignment horizontal="left" vertical="center" wrapText="1"/>
    </xf>
    <xf numFmtId="2" fontId="6" fillId="0" borderId="9" xfId="47" applyNumberFormat="1" applyFont="1" applyBorder="1" applyAlignment="1">
      <alignment horizontal="center" vertical="center"/>
    </xf>
    <xf numFmtId="2" fontId="6" fillId="0" borderId="35" xfId="0" applyNumberFormat="1" applyFont="1" applyBorder="1" applyAlignment="1">
      <alignment horizontal="center" vertical="center"/>
    </xf>
    <xf numFmtId="2" fontId="6" fillId="7" borderId="9" xfId="41" applyNumberFormat="1" applyFont="1" applyFill="1" applyBorder="1" applyAlignment="1">
      <alignment horizontal="center" vertical="center"/>
    </xf>
    <xf numFmtId="0" fontId="6" fillId="0" borderId="9" xfId="0" applyFont="1" applyFill="1" applyBorder="1" applyAlignment="1">
      <alignment horizontal="center" vertical="center"/>
    </xf>
    <xf numFmtId="0" fontId="23" fillId="0" borderId="55" xfId="34" applyFont="1" applyBorder="1" applyAlignment="1" applyProtection="1">
      <alignment horizontal="left" vertical="center" wrapText="1" indent="1"/>
      <protection locked="0"/>
    </xf>
    <xf numFmtId="0" fontId="23" fillId="0" borderId="55" xfId="34" applyFont="1" applyBorder="1" applyAlignment="1" applyProtection="1">
      <alignment horizontal="center" vertical="center"/>
      <protection locked="0"/>
    </xf>
    <xf numFmtId="2" fontId="24" fillId="0" borderId="55" xfId="36" applyNumberFormat="1" applyFont="1" applyBorder="1" applyAlignment="1">
      <alignment horizontal="center" vertical="center"/>
    </xf>
    <xf numFmtId="0" fontId="29" fillId="7" borderId="9" xfId="33" applyFont="1" applyFill="1" applyBorder="1" applyAlignment="1" applyProtection="1">
      <alignment vertical="center" wrapText="1"/>
      <protection locked="0"/>
    </xf>
    <xf numFmtId="0" fontId="25" fillId="7" borderId="9" xfId="34" applyFont="1" applyFill="1" applyBorder="1" applyAlignment="1" applyProtection="1">
      <alignment horizontal="center" vertical="center"/>
      <protection locked="0"/>
    </xf>
    <xf numFmtId="1" fontId="25" fillId="0" borderId="9" xfId="0" applyNumberFormat="1" applyFont="1" applyFill="1" applyBorder="1" applyAlignment="1">
      <alignment horizontal="center" vertical="center"/>
    </xf>
    <xf numFmtId="4" fontId="29" fillId="0" borderId="9" xfId="0" applyNumberFormat="1" applyFont="1" applyBorder="1" applyAlignment="1">
      <alignment horizontal="left" vertical="center" wrapText="1"/>
    </xf>
    <xf numFmtId="4" fontId="25" fillId="0" borderId="9" xfId="0" applyNumberFormat="1" applyFont="1" applyFill="1" applyBorder="1" applyAlignment="1">
      <alignment horizontal="center" vertical="center" wrapText="1"/>
    </xf>
    <xf numFmtId="2" fontId="25" fillId="0" borderId="9" xfId="47" applyNumberFormat="1" applyFont="1" applyFill="1" applyBorder="1" applyAlignment="1">
      <alignment horizontal="center" vertical="center"/>
    </xf>
    <xf numFmtId="0" fontId="25" fillId="0" borderId="9" xfId="0" applyFont="1" applyFill="1" applyBorder="1" applyAlignment="1">
      <alignment vertical="center"/>
    </xf>
    <xf numFmtId="1" fontId="25" fillId="7" borderId="34" xfId="0" applyNumberFormat="1" applyFont="1" applyFill="1" applyBorder="1" applyAlignment="1">
      <alignment horizontal="center" vertical="center"/>
    </xf>
    <xf numFmtId="1" fontId="25" fillId="7" borderId="9" xfId="0" applyNumberFormat="1" applyFont="1" applyFill="1" applyBorder="1" applyAlignment="1">
      <alignment horizontal="center" vertical="center"/>
    </xf>
    <xf numFmtId="2" fontId="25" fillId="3" borderId="9" xfId="0" applyNumberFormat="1" applyFont="1" applyFill="1" applyBorder="1" applyAlignment="1">
      <alignment horizontal="center" vertical="center"/>
    </xf>
    <xf numFmtId="3" fontId="6" fillId="0" borderId="38" xfId="20" applyNumberFormat="1" applyBorder="1" applyAlignment="1">
      <alignment horizontal="center" vertical="center" wrapText="1"/>
    </xf>
    <xf numFmtId="4" fontId="45" fillId="0" borderId="75" xfId="48" applyNumberFormat="1" applyFont="1" applyFill="1" applyBorder="1" applyAlignment="1">
      <alignment horizontal="left" vertical="center" wrapText="1"/>
    </xf>
    <xf numFmtId="4" fontId="6" fillId="0" borderId="11" xfId="20" applyNumberFormat="1" applyBorder="1" applyAlignment="1">
      <alignment horizontal="center" vertical="center" wrapText="1"/>
    </xf>
    <xf numFmtId="4" fontId="32" fillId="0" borderId="11" xfId="20" applyNumberFormat="1" applyFont="1" applyFill="1" applyBorder="1" applyAlignment="1">
      <alignment horizontal="center" vertical="center" wrapText="1"/>
    </xf>
    <xf numFmtId="2" fontId="24" fillId="7" borderId="11" xfId="20" applyNumberFormat="1" applyFont="1" applyFill="1" applyBorder="1" applyAlignment="1">
      <alignment horizontal="center" vertical="center"/>
    </xf>
    <xf numFmtId="2" fontId="25" fillId="7" borderId="11" xfId="49" applyNumberFormat="1" applyFont="1" applyFill="1" applyBorder="1" applyAlignment="1">
      <alignment horizontal="center" vertical="center"/>
    </xf>
    <xf numFmtId="0" fontId="26" fillId="7" borderId="0" xfId="41" applyFont="1" applyFill="1"/>
    <xf numFmtId="3" fontId="0" fillId="0" borderId="76" xfId="0" applyNumberFormat="1" applyBorder="1" applyAlignment="1">
      <alignment horizontal="center" vertical="center" wrapText="1"/>
    </xf>
    <xf numFmtId="0" fontId="30" fillId="3" borderId="75" xfId="34" applyFont="1" applyFill="1" applyBorder="1" applyAlignment="1">
      <alignment horizontal="center" vertical="center" wrapText="1"/>
    </xf>
    <xf numFmtId="4" fontId="0" fillId="0" borderId="75" xfId="0" applyNumberFormat="1" applyBorder="1" applyAlignment="1">
      <alignment horizontal="center" vertical="center" wrapText="1"/>
    </xf>
    <xf numFmtId="0" fontId="0" fillId="0" borderId="77" xfId="0" applyFont="1" applyFill="1" applyBorder="1" applyAlignment="1">
      <alignment horizontal="center" vertical="center"/>
    </xf>
    <xf numFmtId="4" fontId="0" fillId="0" borderId="75" xfId="0" applyNumberFormat="1" applyFill="1" applyBorder="1" applyAlignment="1">
      <alignment horizontal="left" vertical="center" wrapText="1"/>
    </xf>
    <xf numFmtId="4" fontId="0" fillId="0" borderId="75" xfId="0" applyNumberFormat="1" applyFill="1" applyBorder="1" applyAlignment="1">
      <alignment horizontal="center" vertical="center" wrapText="1"/>
    </xf>
    <xf numFmtId="4" fontId="22" fillId="0" borderId="75" xfId="0" applyNumberFormat="1" applyFont="1" applyBorder="1" applyAlignment="1">
      <alignment horizontal="center" vertical="center" wrapText="1"/>
    </xf>
    <xf numFmtId="4" fontId="0" fillId="0" borderId="75" xfId="0" applyNumberFormat="1" applyBorder="1" applyAlignment="1">
      <alignment horizontal="left" vertical="center" wrapText="1"/>
    </xf>
    <xf numFmtId="3" fontId="0" fillId="7" borderId="76" xfId="0" applyNumberFormat="1" applyFill="1" applyBorder="1" applyAlignment="1">
      <alignment horizontal="center" vertical="center" wrapText="1"/>
    </xf>
    <xf numFmtId="4" fontId="0" fillId="7" borderId="11" xfId="0" applyNumberFormat="1" applyFill="1" applyBorder="1" applyAlignment="1">
      <alignment horizontal="left" vertical="center" wrapText="1"/>
    </xf>
    <xf numFmtId="0" fontId="25" fillId="7" borderId="11" xfId="51" applyFont="1" applyFill="1" applyBorder="1" applyAlignment="1">
      <alignment horizontal="center" vertical="center" wrapText="1"/>
    </xf>
    <xf numFmtId="2" fontId="25" fillId="7" borderId="11" xfId="51" applyNumberFormat="1" applyFont="1" applyFill="1" applyBorder="1" applyAlignment="1">
      <alignment horizontal="center" vertical="center"/>
    </xf>
    <xf numFmtId="3" fontId="6" fillId="0" borderId="14" xfId="20" applyNumberFormat="1" applyBorder="1" applyAlignment="1">
      <alignment horizontal="center" vertical="center" wrapText="1"/>
    </xf>
    <xf numFmtId="4" fontId="0" fillId="0" borderId="11" xfId="20" applyNumberFormat="1" applyFont="1" applyBorder="1" applyAlignment="1">
      <alignment horizontal="left" vertical="center" wrapText="1"/>
    </xf>
    <xf numFmtId="0" fontId="30" fillId="3" borderId="11" xfId="34" applyFont="1" applyFill="1" applyBorder="1" applyAlignment="1">
      <alignment horizontal="center" vertical="center" wrapText="1"/>
    </xf>
    <xf numFmtId="3" fontId="6" fillId="0" borderId="76" xfId="20" applyNumberFormat="1" applyBorder="1" applyAlignment="1">
      <alignment horizontal="center" vertical="center" wrapText="1"/>
    </xf>
    <xf numFmtId="4" fontId="45" fillId="0" borderId="75" xfId="0" applyNumberFormat="1" applyFont="1" applyBorder="1" applyAlignment="1">
      <alignment horizontal="left" vertical="center" wrapText="1"/>
    </xf>
    <xf numFmtId="4" fontId="6" fillId="0" borderId="75" xfId="20" applyNumberFormat="1" applyBorder="1" applyAlignment="1">
      <alignment horizontal="center" vertical="center" wrapText="1"/>
    </xf>
    <xf numFmtId="4" fontId="6" fillId="0" borderId="75" xfId="20" applyNumberFormat="1" applyBorder="1" applyAlignment="1">
      <alignment horizontal="left" vertical="center" wrapText="1"/>
    </xf>
    <xf numFmtId="0" fontId="30" fillId="3" borderId="0" xfId="34" applyFont="1" applyFill="1" applyBorder="1" applyAlignment="1">
      <alignment horizontal="center" vertical="center" wrapText="1"/>
    </xf>
    <xf numFmtId="4" fontId="48" fillId="0" borderId="75" xfId="0" applyNumberFormat="1" applyFont="1" applyBorder="1" applyAlignment="1">
      <alignment horizontal="left" vertical="center" wrapText="1"/>
    </xf>
    <xf numFmtId="0" fontId="30" fillId="7" borderId="75" xfId="55" applyFont="1" applyFill="1" applyBorder="1" applyAlignment="1">
      <alignment horizontal="center" vertical="center" wrapText="1"/>
    </xf>
    <xf numFmtId="4" fontId="0" fillId="0" borderId="75" xfId="20" applyNumberFormat="1" applyFont="1" applyBorder="1" applyAlignment="1">
      <alignment horizontal="left" vertical="center" wrapText="1"/>
    </xf>
    <xf numFmtId="0" fontId="6" fillId="7" borderId="7" xfId="34" applyFont="1" applyFill="1" applyBorder="1" applyAlignment="1" applyProtection="1">
      <alignment horizontal="center" vertical="center"/>
      <protection locked="0"/>
    </xf>
    <xf numFmtId="2" fontId="6" fillId="7" borderId="75" xfId="34" applyNumberFormat="1" applyFont="1" applyFill="1" applyBorder="1" applyAlignment="1" applyProtection="1">
      <alignment horizontal="center" vertical="center"/>
      <protection locked="0"/>
    </xf>
    <xf numFmtId="2" fontId="6" fillId="7" borderId="7" xfId="34" applyNumberFormat="1" applyFont="1" applyFill="1" applyBorder="1" applyAlignment="1" applyProtection="1">
      <alignment horizontal="center" vertical="center"/>
      <protection locked="0"/>
    </xf>
    <xf numFmtId="4" fontId="6" fillId="7" borderId="78" xfId="34" applyNumberFormat="1" applyFont="1" applyFill="1" applyBorder="1" applyAlignment="1" applyProtection="1">
      <alignment horizontal="center" vertical="center"/>
      <protection locked="0"/>
    </xf>
    <xf numFmtId="0" fontId="26" fillId="7" borderId="0" xfId="56" applyFont="1" applyFill="1"/>
    <xf numFmtId="3" fontId="6" fillId="7" borderId="76" xfId="20" applyNumberFormat="1" applyFill="1" applyBorder="1" applyAlignment="1">
      <alignment horizontal="center" vertical="center" wrapText="1"/>
    </xf>
    <xf numFmtId="0" fontId="0" fillId="7" borderId="7" xfId="34" applyFont="1" applyFill="1" applyBorder="1" applyAlignment="1" applyProtection="1">
      <alignment horizontal="center" vertical="center"/>
      <protection locked="0"/>
    </xf>
    <xf numFmtId="4" fontId="45" fillId="7" borderId="75" xfId="48" applyNumberFormat="1" applyFont="1" applyFill="1" applyBorder="1" applyAlignment="1">
      <alignment horizontal="left" vertical="center" wrapText="1"/>
    </xf>
    <xf numFmtId="4" fontId="6" fillId="7" borderId="11" xfId="20" applyNumberFormat="1" applyFill="1" applyBorder="1" applyAlignment="1">
      <alignment horizontal="center" vertical="center" wrapText="1"/>
    </xf>
    <xf numFmtId="4" fontId="0" fillId="7" borderId="11" xfId="0" applyNumberFormat="1" applyFont="1" applyFill="1" applyBorder="1" applyAlignment="1">
      <alignment horizontal="center" vertical="center" wrapText="1"/>
    </xf>
    <xf numFmtId="2" fontId="46" fillId="7" borderId="75" xfId="0" applyNumberFormat="1" applyFont="1" applyFill="1" applyBorder="1" applyAlignment="1">
      <alignment horizontal="center" vertical="center"/>
    </xf>
    <xf numFmtId="2" fontId="46" fillId="7" borderId="9" xfId="0" applyNumberFormat="1" applyFont="1" applyFill="1" applyBorder="1" applyAlignment="1">
      <alignment horizontal="center" vertical="center"/>
    </xf>
    <xf numFmtId="2" fontId="41" fillId="7" borderId="9" xfId="0" applyNumberFormat="1" applyFont="1" applyFill="1" applyBorder="1" applyAlignment="1">
      <alignment horizontal="center" vertical="center"/>
    </xf>
    <xf numFmtId="2" fontId="41" fillId="7" borderId="75" xfId="56" applyNumberFormat="1" applyFont="1" applyFill="1" applyBorder="1" applyAlignment="1">
      <alignment horizontal="center" vertical="center"/>
    </xf>
    <xf numFmtId="0" fontId="26" fillId="7" borderId="0" xfId="54" applyFont="1" applyFill="1"/>
    <xf numFmtId="4" fontId="0" fillId="0" borderId="75" xfId="0" applyNumberFormat="1" applyBorder="1" applyAlignment="1">
      <alignment horizontal="right" vertical="center" wrapText="1"/>
    </xf>
    <xf numFmtId="2" fontId="46" fillId="7" borderId="0" xfId="0" applyNumberFormat="1" applyFont="1" applyFill="1" applyBorder="1" applyAlignment="1">
      <alignment horizontal="center" vertical="center"/>
    </xf>
    <xf numFmtId="0" fontId="0" fillId="7" borderId="9" xfId="0" applyFont="1" applyFill="1" applyBorder="1" applyAlignment="1">
      <alignment horizontal="right" vertical="center" wrapText="1"/>
    </xf>
    <xf numFmtId="3" fontId="0" fillId="0" borderId="0" xfId="0" applyNumberFormat="1" applyBorder="1" applyAlignment="1">
      <alignment horizontal="center" vertical="center" wrapText="1"/>
    </xf>
    <xf numFmtId="4" fontId="0" fillId="0" borderId="0" xfId="0" applyNumberFormat="1" applyBorder="1" applyAlignment="1">
      <alignment horizontal="right" vertical="center" wrapText="1"/>
    </xf>
    <xf numFmtId="4" fontId="0" fillId="0" borderId="0" xfId="0" applyNumberFormat="1" applyBorder="1" applyAlignment="1">
      <alignment horizontal="center" vertical="center" wrapText="1"/>
    </xf>
    <xf numFmtId="2" fontId="41" fillId="7" borderId="0" xfId="56" applyNumberFormat="1" applyFont="1" applyFill="1" applyBorder="1" applyAlignment="1">
      <alignment horizontal="center" vertical="center"/>
    </xf>
    <xf numFmtId="49" fontId="0" fillId="7" borderId="34" xfId="20" applyNumberFormat="1" applyFont="1" applyFill="1" applyBorder="1" applyAlignment="1">
      <alignment horizontal="center" vertical="center" wrapText="1"/>
    </xf>
    <xf numFmtId="0" fontId="26" fillId="7" borderId="9" xfId="54" applyFont="1" applyFill="1" applyBorder="1"/>
    <xf numFmtId="2" fontId="41" fillId="7" borderId="9" xfId="50" applyNumberFormat="1" applyFont="1" applyFill="1" applyBorder="1" applyAlignment="1">
      <alignment horizontal="center" vertical="center"/>
    </xf>
    <xf numFmtId="4" fontId="45" fillId="11" borderId="75" xfId="48" applyNumberFormat="1" applyFont="1" applyFill="1" applyBorder="1" applyAlignment="1">
      <alignment horizontal="left" vertical="center" wrapText="1"/>
    </xf>
    <xf numFmtId="4" fontId="32" fillId="7" borderId="11" xfId="0" applyNumberFormat="1" applyFont="1" applyFill="1" applyBorder="1" applyAlignment="1">
      <alignment horizontal="center" vertical="center" wrapText="1"/>
    </xf>
    <xf numFmtId="3" fontId="6" fillId="0" borderId="14" xfId="0" applyNumberFormat="1" applyFont="1" applyBorder="1" applyAlignment="1">
      <alignment horizontal="center" vertical="center" wrapText="1"/>
    </xf>
    <xf numFmtId="0" fontId="8" fillId="7" borderId="11" xfId="33" applyFont="1" applyFill="1" applyBorder="1" applyAlignment="1" applyProtection="1">
      <alignment vertical="center" wrapText="1"/>
      <protection locked="0"/>
    </xf>
    <xf numFmtId="4" fontId="0" fillId="7" borderId="11" xfId="0" applyNumberFormat="1" applyFill="1" applyBorder="1" applyAlignment="1">
      <alignment horizontal="center" vertical="center" wrapText="1"/>
    </xf>
    <xf numFmtId="2" fontId="6" fillId="7" borderId="11" xfId="0" applyNumberFormat="1" applyFont="1" applyFill="1" applyBorder="1" applyAlignment="1">
      <alignment horizontal="center" vertical="center"/>
    </xf>
    <xf numFmtId="2" fontId="6" fillId="0" borderId="11" xfId="57" applyNumberFormat="1" applyFont="1" applyFill="1" applyBorder="1" applyAlignment="1">
      <alignment horizontal="center" vertical="center"/>
    </xf>
    <xf numFmtId="2" fontId="6" fillId="7" borderId="11" xfId="41" applyNumberFormat="1" applyFont="1" applyFill="1" applyBorder="1" applyAlignment="1">
      <alignment horizontal="center" vertical="center"/>
    </xf>
    <xf numFmtId="0" fontId="6" fillId="3" borderId="14" xfId="34" applyFont="1" applyFill="1" applyBorder="1" applyAlignment="1">
      <alignment horizontal="center" vertical="center" wrapText="1"/>
    </xf>
    <xf numFmtId="0" fontId="0" fillId="12" borderId="11" xfId="0" applyFont="1" applyFill="1" applyBorder="1" applyAlignment="1">
      <alignment horizontal="center" vertical="center" wrapText="1"/>
    </xf>
    <xf numFmtId="0" fontId="49" fillId="0" borderId="11" xfId="0" applyFont="1" applyFill="1" applyBorder="1" applyAlignment="1">
      <alignment vertical="center" wrapText="1"/>
    </xf>
    <xf numFmtId="0" fontId="49" fillId="7" borderId="11" xfId="0" applyFont="1" applyFill="1" applyBorder="1" applyAlignment="1">
      <alignment horizontal="center" vertical="center"/>
    </xf>
    <xf numFmtId="169" fontId="50" fillId="7" borderId="11" xfId="0" applyNumberFormat="1" applyFont="1" applyFill="1" applyBorder="1" applyAlignment="1">
      <alignment horizontal="center" vertical="center"/>
    </xf>
    <xf numFmtId="2" fontId="46" fillId="0" borderId="11" xfId="0" applyNumberFormat="1" applyFont="1" applyBorder="1" applyAlignment="1">
      <alignment horizontal="center" vertical="center"/>
    </xf>
    <xf numFmtId="2" fontId="46" fillId="3" borderId="11" xfId="0" applyNumberFormat="1" applyFont="1" applyFill="1" applyBorder="1" applyAlignment="1">
      <alignment horizontal="center" vertical="center"/>
    </xf>
    <xf numFmtId="2" fontId="41" fillId="0" borderId="11" xfId="0" applyNumberFormat="1" applyFont="1" applyBorder="1" applyAlignment="1">
      <alignment horizontal="center" vertical="center"/>
    </xf>
    <xf numFmtId="0" fontId="0" fillId="0" borderId="11" xfId="58" applyFont="1" applyBorder="1" applyAlignment="1">
      <alignment horizontal="left" vertical="center" wrapText="1"/>
    </xf>
    <xf numFmtId="0" fontId="6" fillId="0" borderId="11" xfId="57" applyFont="1" applyBorder="1" applyAlignment="1">
      <alignment horizontal="center" vertical="center" wrapText="1"/>
    </xf>
    <xf numFmtId="2" fontId="6" fillId="7" borderId="11" xfId="57" applyNumberFormat="1" applyFont="1" applyFill="1" applyBorder="1" applyAlignment="1">
      <alignment horizontal="center" vertical="center" wrapText="1"/>
    </xf>
    <xf numFmtId="0" fontId="6" fillId="0" borderId="11" xfId="58" applyFont="1" applyBorder="1" applyAlignment="1">
      <alignment horizontal="left" vertical="center" wrapText="1"/>
    </xf>
    <xf numFmtId="0" fontId="0" fillId="0" borderId="11" xfId="58" applyFont="1" applyBorder="1" applyAlignment="1">
      <alignment horizontal="left" vertical="top" wrapText="1"/>
    </xf>
    <xf numFmtId="3" fontId="1" fillId="0" borderId="38" xfId="45" applyNumberFormat="1" applyFill="1" applyBorder="1" applyAlignment="1">
      <alignment horizontal="center" vertical="center" wrapText="1"/>
    </xf>
    <xf numFmtId="4" fontId="1" fillId="0" borderId="11" xfId="45" applyNumberFormat="1" applyFill="1" applyBorder="1" applyAlignment="1">
      <alignment horizontal="center" vertical="center" wrapText="1"/>
    </xf>
    <xf numFmtId="4" fontId="51" fillId="13" borderId="11" xfId="45" applyNumberFormat="1" applyFont="1" applyFill="1" applyBorder="1" applyAlignment="1">
      <alignment horizontal="left" vertical="center" wrapText="1"/>
    </xf>
    <xf numFmtId="4" fontId="1" fillId="7" borderId="11" xfId="45" applyNumberFormat="1" applyFill="1" applyBorder="1" applyAlignment="1">
      <alignment horizontal="center" vertical="center" wrapText="1"/>
    </xf>
    <xf numFmtId="0" fontId="6" fillId="7" borderId="14" xfId="34" applyFont="1" applyFill="1" applyBorder="1" applyAlignment="1">
      <alignment horizontal="center" vertical="center" wrapText="1"/>
    </xf>
    <xf numFmtId="0" fontId="6" fillId="9" borderId="11" xfId="0" applyFont="1" applyFill="1" applyBorder="1" applyAlignment="1">
      <alignment horizontal="center" vertical="center" wrapText="1"/>
    </xf>
    <xf numFmtId="0" fontId="0" fillId="9" borderId="11" xfId="0" applyFont="1" applyFill="1" applyBorder="1" applyAlignment="1">
      <alignment horizontal="left" vertical="center" wrapText="1"/>
    </xf>
    <xf numFmtId="4" fontId="6" fillId="7" borderId="11" xfId="0" applyNumberFormat="1" applyFont="1" applyFill="1" applyBorder="1" applyAlignment="1">
      <alignment horizontal="center" vertical="center" wrapText="1"/>
    </xf>
    <xf numFmtId="0" fontId="6" fillId="7" borderId="11" xfId="0" applyNumberFormat="1" applyFont="1" applyFill="1" applyBorder="1" applyAlignment="1">
      <alignment horizontal="center" vertical="center" wrapText="1"/>
    </xf>
    <xf numFmtId="4" fontId="1" fillId="0" borderId="11" xfId="45" applyNumberFormat="1" applyFill="1" applyBorder="1" applyAlignment="1">
      <alignment horizontal="left" vertical="center" wrapText="1"/>
    </xf>
    <xf numFmtId="4" fontId="51" fillId="0" borderId="11" xfId="45" applyNumberFormat="1" applyFont="1" applyFill="1" applyBorder="1" applyAlignment="1">
      <alignment horizontal="left" vertical="center" wrapText="1"/>
    </xf>
    <xf numFmtId="3" fontId="1" fillId="0" borderId="38" xfId="45" applyNumberFormat="1" applyBorder="1" applyAlignment="1">
      <alignment horizontal="center" vertical="center" wrapText="1"/>
    </xf>
    <xf numFmtId="4" fontId="1" fillId="0" borderId="11" xfId="45" applyNumberFormat="1" applyBorder="1" applyAlignment="1">
      <alignment horizontal="center" vertical="center" wrapText="1"/>
    </xf>
    <xf numFmtId="4" fontId="1" fillId="0" borderId="11" xfId="45" applyNumberFormat="1" applyBorder="1" applyAlignment="1">
      <alignment horizontal="left" vertical="center" wrapText="1"/>
    </xf>
    <xf numFmtId="0" fontId="30" fillId="7" borderId="11" xfId="59" applyFont="1" applyFill="1" applyBorder="1" applyAlignment="1">
      <alignment horizontal="center" vertical="center" wrapText="1"/>
    </xf>
    <xf numFmtId="0" fontId="48" fillId="7" borderId="11" xfId="34" applyFont="1" applyFill="1" applyBorder="1" applyAlignment="1" applyProtection="1">
      <alignment vertical="center" wrapText="1"/>
      <protection locked="0"/>
    </xf>
    <xf numFmtId="0" fontId="0" fillId="7" borderId="11" xfId="34" applyFont="1" applyFill="1" applyBorder="1" applyAlignment="1" applyProtection="1">
      <alignment horizontal="center" vertical="center"/>
      <protection locked="0"/>
    </xf>
    <xf numFmtId="2" fontId="0" fillId="7" borderId="11" xfId="34" applyNumberFormat="1" applyFont="1" applyFill="1" applyBorder="1" applyAlignment="1" applyProtection="1">
      <alignment horizontal="center" vertical="center"/>
      <protection locked="0"/>
    </xf>
    <xf numFmtId="0" fontId="41" fillId="7" borderId="14" xfId="54" applyFont="1" applyFill="1" applyBorder="1" applyAlignment="1">
      <alignment horizontal="center" vertical="center"/>
    </xf>
    <xf numFmtId="0" fontId="0" fillId="7" borderId="11" xfId="0" applyFont="1" applyFill="1" applyBorder="1" applyAlignment="1">
      <alignment horizontal="center" vertical="center"/>
    </xf>
    <xf numFmtId="0" fontId="6" fillId="7" borderId="11" xfId="34" applyFont="1" applyFill="1" applyBorder="1" applyAlignment="1" applyProtection="1">
      <alignment vertical="center" wrapText="1"/>
      <protection locked="0"/>
    </xf>
    <xf numFmtId="0" fontId="23" fillId="7" borderId="11" xfId="34" applyFont="1" applyFill="1" applyBorder="1" applyAlignment="1" applyProtection="1">
      <alignment horizontal="center" vertical="center"/>
      <protection locked="0"/>
    </xf>
    <xf numFmtId="0" fontId="0" fillId="7" borderId="11" xfId="34" applyFont="1" applyFill="1" applyBorder="1" applyAlignment="1" applyProtection="1">
      <alignment vertical="center" wrapText="1"/>
      <protection locked="0"/>
    </xf>
    <xf numFmtId="0" fontId="30" fillId="7" borderId="9" xfId="43" applyFont="1" applyFill="1" applyBorder="1" applyAlignment="1">
      <alignment horizontal="center" vertical="center" wrapText="1"/>
    </xf>
    <xf numFmtId="0" fontId="0" fillId="7" borderId="9" xfId="34" applyFont="1" applyFill="1" applyBorder="1" applyAlignment="1" applyProtection="1">
      <alignment vertical="center" wrapText="1"/>
      <protection locked="0"/>
    </xf>
    <xf numFmtId="2" fontId="6" fillId="7" borderId="9" xfId="34" applyNumberFormat="1" applyFont="1" applyFill="1" applyBorder="1" applyAlignment="1" applyProtection="1">
      <alignment horizontal="center" vertical="center"/>
      <protection locked="0"/>
    </xf>
    <xf numFmtId="0" fontId="30" fillId="7" borderId="11" xfId="43" applyFont="1" applyFill="1" applyBorder="1" applyAlignment="1">
      <alignment horizontal="center" vertical="center" wrapText="1"/>
    </xf>
    <xf numFmtId="0" fontId="6" fillId="0" borderId="11" xfId="34" applyFont="1" applyBorder="1" applyAlignment="1" applyProtection="1">
      <alignment horizontal="left" vertical="center" wrapText="1" indent="1"/>
      <protection locked="0"/>
    </xf>
    <xf numFmtId="0" fontId="0" fillId="0" borderId="11" xfId="34" applyFont="1" applyBorder="1" applyAlignment="1" applyProtection="1">
      <alignment horizontal="left" vertical="center" wrapText="1" indent="1"/>
      <protection locked="0"/>
    </xf>
    <xf numFmtId="0" fontId="30" fillId="7" borderId="11" xfId="55" applyFont="1" applyFill="1" applyBorder="1" applyAlignment="1">
      <alignment horizontal="center" vertical="center" wrapText="1"/>
    </xf>
    <xf numFmtId="0" fontId="23" fillId="7" borderId="11" xfId="34" applyFont="1" applyFill="1" applyBorder="1" applyAlignment="1" applyProtection="1">
      <alignment vertical="center" wrapText="1"/>
      <protection locked="0"/>
    </xf>
    <xf numFmtId="0" fontId="23" fillId="7" borderId="11" xfId="34" applyFont="1" applyFill="1" applyBorder="1" applyAlignment="1" applyProtection="1">
      <alignment horizontal="left" vertical="center" wrapText="1" indent="1"/>
      <protection locked="0"/>
    </xf>
    <xf numFmtId="0" fontId="6" fillId="7" borderId="11" xfId="60" applyFont="1" applyFill="1" applyBorder="1" applyAlignment="1">
      <alignment horizontal="center" vertical="center" wrapText="1"/>
    </xf>
    <xf numFmtId="0" fontId="0" fillId="7" borderId="11" xfId="61" applyFont="1" applyFill="1" applyBorder="1" applyAlignment="1" applyProtection="1">
      <alignment wrapText="1"/>
      <protection locked="0"/>
    </xf>
    <xf numFmtId="0" fontId="0" fillId="0" borderId="11" xfId="61" applyFont="1" applyBorder="1" applyAlignment="1" applyProtection="1">
      <alignment horizontal="left" wrapText="1" indent="1"/>
      <protection locked="0"/>
    </xf>
    <xf numFmtId="0" fontId="0" fillId="0" borderId="11" xfId="0" applyFill="1" applyBorder="1" applyAlignment="1">
      <alignment horizontal="left" vertical="center" wrapText="1"/>
    </xf>
    <xf numFmtId="4" fontId="0" fillId="7" borderId="11" xfId="0" applyNumberFormat="1" applyFont="1" applyFill="1" applyBorder="1" applyAlignment="1">
      <alignment horizontal="center" vertical="center" shrinkToFit="1"/>
    </xf>
    <xf numFmtId="0" fontId="6" fillId="7" borderId="11" xfId="0" applyFont="1" applyFill="1" applyBorder="1" applyAlignment="1">
      <alignment horizontal="center" vertical="center"/>
    </xf>
    <xf numFmtId="0" fontId="0" fillId="7" borderId="11" xfId="34" applyFont="1" applyFill="1" applyBorder="1" applyAlignment="1" applyProtection="1">
      <alignment horizontal="left" vertical="center" wrapText="1" indent="1"/>
      <protection locked="0"/>
    </xf>
    <xf numFmtId="2" fontId="23" fillId="7" borderId="11" xfId="34" applyNumberFormat="1" applyFont="1" applyFill="1" applyBorder="1" applyAlignment="1" applyProtection="1">
      <alignment horizontal="center" vertical="center"/>
      <protection locked="0"/>
    </xf>
    <xf numFmtId="0" fontId="23" fillId="7" borderId="11" xfId="34" applyFont="1" applyFill="1" applyBorder="1" applyAlignment="1" applyProtection="1">
      <alignment horizontal="left" vertical="center" wrapText="1"/>
      <protection locked="0"/>
    </xf>
    <xf numFmtId="0" fontId="23" fillId="7" borderId="11" xfId="19" applyFont="1" applyFill="1" applyBorder="1" applyAlignment="1" applyProtection="1">
      <alignment horizontal="left" vertical="center" wrapText="1"/>
      <protection locked="0"/>
    </xf>
    <xf numFmtId="0" fontId="0" fillId="7" borderId="11" xfId="19" applyFont="1" applyFill="1" applyBorder="1" applyAlignment="1" applyProtection="1">
      <alignment horizontal="center" vertical="center"/>
    </xf>
    <xf numFmtId="0" fontId="0" fillId="7" borderId="11" xfId="19" applyNumberFormat="1" applyFont="1" applyFill="1" applyBorder="1" applyAlignment="1" applyProtection="1">
      <alignment horizontal="center" vertical="center"/>
      <protection locked="0"/>
    </xf>
    <xf numFmtId="1" fontId="0" fillId="7" borderId="11" xfId="19" applyNumberFormat="1" applyFont="1" applyFill="1" applyBorder="1" applyAlignment="1" applyProtection="1">
      <alignment horizontal="center" vertical="center"/>
      <protection locked="0"/>
    </xf>
    <xf numFmtId="169" fontId="0" fillId="7" borderId="11" xfId="19" applyNumberFormat="1" applyFont="1" applyFill="1" applyBorder="1" applyAlignment="1" applyProtection="1">
      <alignment horizontal="center" vertical="center"/>
      <protection locked="0"/>
    </xf>
    <xf numFmtId="0" fontId="0" fillId="9" borderId="11" xfId="0" applyFont="1" applyFill="1" applyBorder="1" applyAlignment="1">
      <alignment horizontal="center" vertical="center" wrapText="1"/>
    </xf>
    <xf numFmtId="0" fontId="0" fillId="7" borderId="11" xfId="0" applyFont="1" applyFill="1" applyBorder="1" applyAlignment="1">
      <alignment horizontal="left" vertical="center" wrapText="1"/>
    </xf>
    <xf numFmtId="0" fontId="0" fillId="7" borderId="11" xfId="0" applyFont="1" applyFill="1" applyBorder="1" applyAlignment="1" applyProtection="1">
      <alignment horizontal="center" vertical="center"/>
    </xf>
    <xf numFmtId="170" fontId="0" fillId="7" borderId="11" xfId="0" applyNumberFormat="1" applyFont="1" applyFill="1" applyBorder="1" applyAlignment="1">
      <alignment horizontal="center" vertical="center" shrinkToFit="1"/>
    </xf>
    <xf numFmtId="0" fontId="0" fillId="7" borderId="11" xfId="19" applyFont="1" applyFill="1" applyBorder="1" applyAlignment="1" applyProtection="1">
      <alignment horizontal="left" vertical="center" wrapText="1"/>
      <protection locked="0"/>
    </xf>
    <xf numFmtId="0" fontId="41" fillId="7" borderId="11" xfId="55" applyFont="1" applyFill="1" applyBorder="1" applyAlignment="1">
      <alignment horizontal="center" vertical="center"/>
    </xf>
    <xf numFmtId="0" fontId="1" fillId="7" borderId="11" xfId="34" applyFont="1" applyFill="1" applyBorder="1" applyAlignment="1" applyProtection="1">
      <alignment vertical="center" wrapText="1"/>
      <protection locked="0"/>
    </xf>
    <xf numFmtId="0" fontId="32" fillId="7" borderId="11" xfId="34" applyFont="1" applyFill="1" applyBorder="1" applyAlignment="1" applyProtection="1">
      <alignment horizontal="center" vertical="center"/>
      <protection locked="0"/>
    </xf>
    <xf numFmtId="2" fontId="0" fillId="7" borderId="11" xfId="55" applyNumberFormat="1" applyFont="1" applyFill="1" applyBorder="1" applyAlignment="1">
      <alignment horizontal="center" vertical="center"/>
    </xf>
    <xf numFmtId="0" fontId="0" fillId="7" borderId="34" xfId="34" applyFont="1" applyFill="1" applyBorder="1" applyAlignment="1">
      <alignment horizontal="center" vertical="center" wrapText="1"/>
    </xf>
    <xf numFmtId="2" fontId="39" fillId="7" borderId="11" xfId="0" applyNumberFormat="1" applyFont="1" applyFill="1" applyBorder="1" applyAlignment="1">
      <alignment horizontal="center" vertical="center"/>
    </xf>
    <xf numFmtId="2" fontId="39" fillId="7" borderId="11" xfId="57" applyNumberFormat="1" applyFont="1" applyFill="1" applyBorder="1" applyAlignment="1">
      <alignment horizontal="center" vertical="center"/>
    </xf>
    <xf numFmtId="2" fontId="39" fillId="7" borderId="11" xfId="41" applyNumberFormat="1" applyFont="1" applyFill="1" applyBorder="1" applyAlignment="1">
      <alignment horizontal="center" vertical="center"/>
    </xf>
    <xf numFmtId="3" fontId="25" fillId="7" borderId="34" xfId="45" applyNumberFormat="1" applyFont="1" applyFill="1" applyBorder="1" applyAlignment="1">
      <alignment horizontal="center" vertical="center" wrapText="1"/>
    </xf>
    <xf numFmtId="4" fontId="25" fillId="7" borderId="9" xfId="45" applyNumberFormat="1" applyFont="1" applyFill="1" applyBorder="1" applyAlignment="1">
      <alignment horizontal="center" vertical="center" wrapText="1"/>
    </xf>
    <xf numFmtId="4" fontId="25" fillId="7" borderId="9" xfId="45" applyNumberFormat="1" applyFont="1" applyFill="1" applyBorder="1" applyAlignment="1">
      <alignment horizontal="left" vertical="center" wrapText="1"/>
    </xf>
    <xf numFmtId="2" fontId="39" fillId="7" borderId="9" xfId="0" applyNumberFormat="1" applyFont="1" applyFill="1" applyBorder="1" applyAlignment="1">
      <alignment horizontal="center" vertical="center"/>
    </xf>
    <xf numFmtId="0" fontId="6" fillId="7" borderId="79" xfId="34" applyFont="1" applyFill="1" applyBorder="1" applyAlignment="1">
      <alignment horizontal="center" vertical="center" wrapText="1"/>
    </xf>
    <xf numFmtId="0" fontId="6" fillId="7" borderId="80" xfId="43" applyFont="1" applyFill="1" applyBorder="1" applyAlignment="1">
      <alignment horizontal="center" vertical="center" wrapText="1"/>
    </xf>
    <xf numFmtId="0" fontId="0" fillId="7" borderId="80" xfId="34" applyFont="1" applyFill="1" applyBorder="1" applyAlignment="1" applyProtection="1">
      <alignment vertical="center" wrapText="1"/>
      <protection locked="0"/>
    </xf>
    <xf numFmtId="0" fontId="6" fillId="7" borderId="80" xfId="34" applyFont="1" applyFill="1" applyBorder="1" applyAlignment="1" applyProtection="1">
      <alignment horizontal="center" vertical="center"/>
      <protection locked="0"/>
    </xf>
    <xf numFmtId="2" fontId="6" fillId="7" borderId="80" xfId="34" applyNumberFormat="1" applyFont="1" applyFill="1" applyBorder="1" applyAlignment="1" applyProtection="1">
      <alignment horizontal="center" vertical="center"/>
      <protection locked="0"/>
    </xf>
    <xf numFmtId="0" fontId="0" fillId="0" borderId="11" xfId="57" applyFont="1" applyBorder="1" applyAlignment="1">
      <alignment horizontal="center" vertical="center"/>
    </xf>
    <xf numFmtId="4" fontId="23" fillId="7" borderId="11" xfId="0" applyNumberFormat="1" applyFont="1" applyFill="1" applyBorder="1" applyAlignment="1">
      <alignment vertical="center" wrapText="1"/>
    </xf>
    <xf numFmtId="0" fontId="0" fillId="7" borderId="11" xfId="0" applyFont="1" applyFill="1" applyBorder="1" applyAlignment="1">
      <alignment horizontal="center" vertical="center" wrapText="1"/>
    </xf>
    <xf numFmtId="4" fontId="53" fillId="7" borderId="11" xfId="0" applyNumberFormat="1" applyFont="1" applyFill="1" applyBorder="1" applyAlignment="1">
      <alignment horizontal="left" vertical="center" wrapText="1"/>
    </xf>
    <xf numFmtId="0" fontId="6" fillId="7" borderId="80" xfId="34" applyFont="1" applyFill="1" applyBorder="1" applyAlignment="1" applyProtection="1">
      <alignment vertical="center" wrapText="1"/>
      <protection locked="0"/>
    </xf>
    <xf numFmtId="0" fontId="0" fillId="3" borderId="80" xfId="34" applyFont="1" applyFill="1" applyBorder="1" applyAlignment="1" applyProtection="1">
      <alignment horizontal="left" vertical="center" wrapText="1" indent="1"/>
      <protection locked="0"/>
    </xf>
    <xf numFmtId="0" fontId="6" fillId="0" borderId="80" xfId="34" applyFont="1" applyBorder="1" applyAlignment="1" applyProtection="1">
      <alignment horizontal="left" vertical="center" wrapText="1" indent="1"/>
      <protection locked="0"/>
    </xf>
    <xf numFmtId="0" fontId="6" fillId="7" borderId="11" xfId="34" applyFont="1" applyFill="1" applyBorder="1" applyAlignment="1" applyProtection="1">
      <alignment horizontal="center" vertical="center"/>
      <protection locked="0"/>
    </xf>
    <xf numFmtId="0" fontId="6" fillId="7" borderId="11" xfId="34" applyFont="1" applyFill="1" applyBorder="1" applyAlignment="1" applyProtection="1">
      <alignment horizontal="left" vertical="center" wrapText="1" indent="1"/>
      <protection locked="0"/>
    </xf>
    <xf numFmtId="3" fontId="25" fillId="7" borderId="79" xfId="45" applyNumberFormat="1" applyFont="1" applyFill="1" applyBorder="1" applyAlignment="1">
      <alignment horizontal="center" vertical="center" wrapText="1"/>
    </xf>
    <xf numFmtId="4" fontId="25" fillId="0" borderId="80" xfId="45" applyNumberFormat="1" applyFont="1" applyFill="1" applyBorder="1" applyAlignment="1">
      <alignment horizontal="center" vertical="center" wrapText="1"/>
    </xf>
    <xf numFmtId="4" fontId="25" fillId="0" borderId="80" xfId="45" applyNumberFormat="1" applyFont="1" applyFill="1" applyBorder="1" applyAlignment="1">
      <alignment horizontal="left" vertical="center" wrapText="1"/>
    </xf>
    <xf numFmtId="4" fontId="25" fillId="7" borderId="80" xfId="45" applyNumberFormat="1" applyFont="1" applyFill="1" applyBorder="1" applyAlignment="1">
      <alignment horizontal="center" vertical="center" wrapText="1"/>
    </xf>
    <xf numFmtId="0" fontId="0" fillId="7" borderId="11" xfId="34" applyFont="1" applyFill="1" applyBorder="1" applyAlignment="1" applyProtection="1">
      <alignment wrapText="1"/>
      <protection locked="0"/>
    </xf>
    <xf numFmtId="0" fontId="6" fillId="3" borderId="11" xfId="34" applyFont="1" applyFill="1" applyBorder="1" applyAlignment="1" applyProtection="1">
      <alignment horizontal="left" vertical="center" wrapText="1" indent="1"/>
      <protection locked="0"/>
    </xf>
    <xf numFmtId="0" fontId="6" fillId="0" borderId="14" xfId="34" applyFont="1" applyFill="1" applyBorder="1" applyAlignment="1">
      <alignment horizontal="center" vertical="center" wrapText="1"/>
    </xf>
    <xf numFmtId="0" fontId="30" fillId="0" borderId="11" xfId="55" applyFont="1" applyFill="1" applyBorder="1" applyAlignment="1">
      <alignment horizontal="center" vertical="center" wrapText="1"/>
    </xf>
    <xf numFmtId="0" fontId="0" fillId="0" borderId="11" xfId="34" applyFont="1" applyFill="1" applyBorder="1" applyAlignment="1" applyProtection="1">
      <alignment vertical="center" wrapText="1"/>
      <protection locked="0"/>
    </xf>
    <xf numFmtId="0" fontId="41" fillId="7" borderId="14" xfId="49" applyFont="1" applyFill="1" applyBorder="1" applyAlignment="1">
      <alignment horizontal="center" vertical="center"/>
    </xf>
    <xf numFmtId="0" fontId="50" fillId="7" borderId="11" xfId="34" applyFont="1" applyFill="1" applyBorder="1" applyAlignment="1" applyProtection="1">
      <alignment vertical="center" wrapText="1"/>
      <protection locked="0"/>
    </xf>
    <xf numFmtId="0" fontId="50" fillId="7" borderId="11" xfId="23" applyFont="1" applyFill="1" applyBorder="1" applyAlignment="1">
      <alignment horizontal="center" vertical="center" shrinkToFit="1"/>
    </xf>
    <xf numFmtId="169" fontId="50" fillId="7" borderId="11" xfId="49" applyNumberFormat="1" applyFont="1" applyFill="1" applyBorder="1" applyAlignment="1">
      <alignment horizontal="center" vertical="center"/>
    </xf>
    <xf numFmtId="0" fontId="0" fillId="7" borderId="11" xfId="0" applyFill="1" applyBorder="1" applyAlignment="1">
      <alignment horizontal="left" vertical="center" wrapText="1" indent="1"/>
    </xf>
    <xf numFmtId="0" fontId="50" fillId="7" borderId="11" xfId="34" applyFont="1" applyFill="1" applyBorder="1" applyAlignment="1" applyProtection="1">
      <alignment horizontal="center" vertical="center"/>
      <protection locked="0"/>
    </xf>
    <xf numFmtId="0" fontId="50" fillId="7" borderId="11" xfId="49" applyNumberFormat="1" applyFont="1" applyFill="1" applyBorder="1" applyAlignment="1">
      <alignment horizontal="center" vertical="center"/>
    </xf>
    <xf numFmtId="0" fontId="54" fillId="7" borderId="11" xfId="33" applyFont="1" applyFill="1" applyBorder="1" applyAlignment="1" applyProtection="1">
      <alignment vertical="center" wrapText="1"/>
      <protection locked="0"/>
    </xf>
    <xf numFmtId="0" fontId="6" fillId="7" borderId="11" xfId="55" applyFont="1" applyFill="1" applyBorder="1" applyAlignment="1">
      <alignment horizontal="center" vertical="center" wrapText="1"/>
    </xf>
    <xf numFmtId="0" fontId="30" fillId="3" borderId="9" xfId="55" applyFont="1" applyFill="1" applyBorder="1" applyAlignment="1">
      <alignment horizontal="center" vertical="center" wrapText="1"/>
    </xf>
    <xf numFmtId="0" fontId="25" fillId="7" borderId="9" xfId="34" applyFont="1" applyFill="1" applyBorder="1" applyAlignment="1" applyProtection="1">
      <alignment vertical="center" wrapText="1"/>
      <protection locked="0"/>
    </xf>
    <xf numFmtId="0" fontId="0" fillId="7" borderId="9" xfId="34" applyFont="1" applyFill="1" applyBorder="1" applyAlignment="1" applyProtection="1">
      <alignment horizontal="center" vertical="center"/>
      <protection locked="0"/>
    </xf>
    <xf numFmtId="2" fontId="0" fillId="7" borderId="9" xfId="34" applyNumberFormat="1" applyFont="1" applyFill="1" applyBorder="1" applyAlignment="1" applyProtection="1">
      <alignment horizontal="center" vertical="center"/>
      <protection locked="0"/>
    </xf>
    <xf numFmtId="0" fontId="6" fillId="7" borderId="11" xfId="34" applyFont="1" applyFill="1" applyBorder="1" applyAlignment="1">
      <alignment horizontal="center" vertical="center" wrapText="1"/>
    </xf>
    <xf numFmtId="0" fontId="41" fillId="7" borderId="11" xfId="0" applyFont="1" applyFill="1" applyBorder="1" applyAlignment="1">
      <alignment wrapText="1"/>
    </xf>
    <xf numFmtId="0" fontId="25" fillId="7" borderId="11" xfId="34" applyFont="1" applyFill="1" applyBorder="1" applyAlignment="1" applyProtection="1">
      <alignment vertical="center" wrapText="1"/>
      <protection locked="0"/>
    </xf>
    <xf numFmtId="0" fontId="0" fillId="7" borderId="11" xfId="34" applyFont="1" applyFill="1" applyBorder="1" applyAlignment="1" applyProtection="1">
      <alignment horizontal="left" vertical="center" wrapText="1"/>
      <protection locked="0"/>
    </xf>
    <xf numFmtId="0" fontId="53" fillId="3" borderId="11" xfId="34" applyFont="1" applyFill="1" applyBorder="1" applyAlignment="1" applyProtection="1">
      <alignment horizontal="center" vertical="center" wrapText="1"/>
      <protection locked="0"/>
    </xf>
    <xf numFmtId="0" fontId="6" fillId="0" borderId="11" xfId="0" applyFont="1" applyBorder="1" applyAlignment="1">
      <alignment horizontal="center" vertical="center"/>
    </xf>
    <xf numFmtId="0" fontId="6" fillId="7" borderId="11" xfId="0" applyFont="1" applyFill="1" applyBorder="1" applyAlignment="1">
      <alignment horizontal="left" wrapText="1"/>
    </xf>
    <xf numFmtId="2" fontId="41" fillId="7" borderId="75" xfId="50" applyNumberFormat="1" applyFont="1" applyFill="1" applyBorder="1" applyAlignment="1">
      <alignment horizontal="center" vertical="center"/>
    </xf>
    <xf numFmtId="2" fontId="24" fillId="7" borderId="11" xfId="51" applyNumberFormat="1" applyFont="1" applyFill="1" applyBorder="1" applyAlignment="1">
      <alignment horizontal="center" vertical="center"/>
    </xf>
    <xf numFmtId="2" fontId="41" fillId="7" borderId="11" xfId="52" applyNumberFormat="1" applyFont="1" applyFill="1" applyBorder="1" applyAlignment="1">
      <alignment horizontal="center" vertical="center"/>
    </xf>
    <xf numFmtId="2" fontId="41" fillId="7" borderId="75" xfId="54" applyNumberFormat="1" applyFont="1" applyFill="1" applyBorder="1" applyAlignment="1">
      <alignment horizontal="center" vertical="center"/>
    </xf>
    <xf numFmtId="2" fontId="25" fillId="7" borderId="9" xfId="20" applyNumberFormat="1" applyFont="1" applyFill="1" applyBorder="1" applyAlignment="1">
      <alignment horizontal="center" vertical="center"/>
    </xf>
    <xf numFmtId="2" fontId="25" fillId="0" borderId="9" xfId="46" applyNumberFormat="1" applyFont="1" applyFill="1" applyBorder="1" applyAlignment="1">
      <alignment horizontal="center" vertical="center"/>
    </xf>
    <xf numFmtId="2" fontId="25" fillId="0" borderId="9" xfId="0" applyNumberFormat="1" applyFont="1" applyFill="1" applyBorder="1" applyAlignment="1">
      <alignment horizontal="center" vertical="center" wrapText="1"/>
    </xf>
    <xf numFmtId="0" fontId="25" fillId="7" borderId="9" xfId="41" applyFont="1" applyFill="1" applyBorder="1"/>
    <xf numFmtId="2" fontId="25" fillId="0" borderId="9" xfId="62" applyNumberFormat="1" applyFont="1" applyBorder="1" applyAlignment="1">
      <alignment horizontal="center" vertical="center"/>
    </xf>
    <xf numFmtId="2" fontId="25" fillId="0" borderId="9" xfId="0" applyNumberFormat="1" applyFont="1" applyBorder="1" applyAlignment="1">
      <alignment horizontal="center" vertical="center" wrapText="1"/>
    </xf>
    <xf numFmtId="2" fontId="25" fillId="7" borderId="9" xfId="0" applyNumberFormat="1" applyFont="1" applyFill="1" applyBorder="1" applyAlignment="1">
      <alignment horizontal="center" vertical="center" wrapText="1"/>
    </xf>
    <xf numFmtId="0" fontId="25" fillId="7" borderId="5" xfId="36" applyFont="1" applyFill="1" applyBorder="1" applyAlignment="1">
      <alignment horizontal="center" vertical="center" textRotation="90" wrapText="1"/>
    </xf>
    <xf numFmtId="2" fontId="25" fillId="7" borderId="9" xfId="62" applyNumberFormat="1" applyFont="1" applyFill="1" applyBorder="1" applyAlignment="1">
      <alignment horizontal="center" vertical="center"/>
    </xf>
    <xf numFmtId="0" fontId="34" fillId="7" borderId="0" xfId="41" applyFont="1" applyFill="1"/>
    <xf numFmtId="0" fontId="0" fillId="7" borderId="0" xfId="0" applyFont="1" applyFill="1"/>
    <xf numFmtId="0" fontId="10" fillId="0" borderId="0" xfId="0" applyFont="1" applyBorder="1" applyAlignment="1">
      <alignment horizontal="center" vertical="top" wrapText="1"/>
    </xf>
    <xf numFmtId="0" fontId="10" fillId="0" borderId="0" xfId="0" applyFont="1" applyAlignment="1">
      <alignment horizontal="center"/>
    </xf>
    <xf numFmtId="0" fontId="25" fillId="0" borderId="5" xfId="36" applyFont="1" applyBorder="1" applyAlignment="1">
      <alignment horizontal="center" vertical="center" textRotation="90" wrapText="1"/>
    </xf>
    <xf numFmtId="0" fontId="8" fillId="4" borderId="30" xfId="33" applyFont="1" applyFill="1" applyBorder="1" applyAlignment="1" applyProtection="1">
      <alignment horizontal="left" vertical="center" wrapText="1"/>
      <protection locked="0"/>
    </xf>
    <xf numFmtId="0" fontId="0" fillId="0" borderId="9" xfId="0" applyFont="1" applyFill="1" applyBorder="1" applyAlignment="1">
      <alignment wrapText="1"/>
    </xf>
    <xf numFmtId="171" fontId="6" fillId="0" borderId="9" xfId="19" applyNumberFormat="1" applyFont="1" applyFill="1" applyBorder="1" applyAlignment="1">
      <alignment horizontal="center" vertical="center"/>
    </xf>
    <xf numFmtId="171" fontId="6" fillId="0" borderId="9" xfId="19" applyNumberFormat="1" applyFont="1" applyBorder="1" applyAlignment="1">
      <alignment horizontal="center" vertical="center"/>
    </xf>
    <xf numFmtId="0" fontId="25" fillId="0" borderId="81" xfId="0" applyFont="1" applyFill="1" applyBorder="1" applyAlignment="1">
      <alignment horizontal="center" vertical="center"/>
    </xf>
    <xf numFmtId="0" fontId="25" fillId="7" borderId="40" xfId="36" applyFont="1" applyFill="1" applyBorder="1"/>
    <xf numFmtId="0" fontId="25" fillId="0" borderId="40" xfId="0" applyFont="1" applyFill="1" applyBorder="1" applyAlignment="1">
      <alignment horizontal="center" vertical="center"/>
    </xf>
    <xf numFmtId="171" fontId="6" fillId="0" borderId="40" xfId="19" applyNumberFormat="1" applyFont="1" applyFill="1" applyBorder="1" applyAlignment="1">
      <alignment horizontal="center" vertical="center"/>
    </xf>
    <xf numFmtId="171" fontId="6" fillId="0" borderId="40" xfId="19" applyNumberFormat="1" applyFont="1" applyBorder="1" applyAlignment="1">
      <alignment horizontal="center" vertical="center"/>
    </xf>
    <xf numFmtId="0" fontId="23" fillId="0" borderId="0" xfId="0" applyFont="1" applyFill="1" applyAlignment="1">
      <alignment horizontal="left" vertical="center"/>
    </xf>
    <xf numFmtId="0" fontId="6" fillId="0" borderId="11" xfId="57" applyFont="1" applyBorder="1" applyAlignment="1">
      <alignment horizontal="center" vertical="center"/>
    </xf>
    <xf numFmtId="0" fontId="6" fillId="9" borderId="11" xfId="57" quotePrefix="1" applyFont="1" applyFill="1" applyBorder="1" applyAlignment="1">
      <alignment horizontal="left" vertical="center" wrapText="1"/>
    </xf>
    <xf numFmtId="0" fontId="6" fillId="7" borderId="11" xfId="57" applyFont="1" applyFill="1" applyBorder="1" applyAlignment="1">
      <alignment horizontal="center" vertical="center" wrapText="1"/>
    </xf>
    <xf numFmtId="0" fontId="25" fillId="7" borderId="0" xfId="41" applyFont="1" applyFill="1"/>
    <xf numFmtId="0" fontId="0" fillId="9" borderId="11" xfId="57" quotePrefix="1" applyFont="1" applyFill="1" applyBorder="1" applyAlignment="1">
      <alignment horizontal="left" vertical="center" wrapText="1"/>
    </xf>
    <xf numFmtId="0" fontId="0" fillId="0" borderId="11" xfId="57" applyFont="1" applyBorder="1" applyAlignment="1">
      <alignment horizontal="center" vertical="center" wrapText="1"/>
    </xf>
    <xf numFmtId="2" fontId="0" fillId="0" borderId="11" xfId="57" applyNumberFormat="1" applyFont="1" applyFill="1" applyBorder="1" applyAlignment="1">
      <alignment horizontal="center" vertical="center"/>
    </xf>
    <xf numFmtId="0" fontId="0" fillId="0" borderId="9" xfId="0" applyBorder="1" applyAlignment="1">
      <alignment horizontal="center" vertical="center"/>
    </xf>
    <xf numFmtId="0" fontId="0" fillId="0" borderId="9" xfId="0" applyBorder="1" applyAlignment="1">
      <alignment wrapText="1"/>
    </xf>
    <xf numFmtId="2" fontId="25" fillId="7" borderId="9" xfId="49" applyNumberFormat="1" applyFont="1" applyFill="1" applyBorder="1" applyAlignment="1">
      <alignment horizontal="center" vertical="center"/>
    </xf>
    <xf numFmtId="0" fontId="39" fillId="0" borderId="11" xfId="57" applyFont="1" applyBorder="1" applyAlignment="1">
      <alignment horizontal="center" vertical="center"/>
    </xf>
    <xf numFmtId="0" fontId="39" fillId="7" borderId="11" xfId="57" applyFont="1" applyFill="1" applyBorder="1" applyAlignment="1">
      <alignment horizontal="left" vertical="center" wrapText="1"/>
    </xf>
    <xf numFmtId="0" fontId="39" fillId="7" borderId="11" xfId="57" applyFont="1" applyFill="1" applyBorder="1" applyAlignment="1">
      <alignment horizontal="center"/>
    </xf>
    <xf numFmtId="2" fontId="39" fillId="0" borderId="11" xfId="0" applyNumberFormat="1" applyFont="1" applyBorder="1" applyAlignment="1">
      <alignment horizontal="center" vertical="center"/>
    </xf>
    <xf numFmtId="2" fontId="39" fillId="3" borderId="11" xfId="0" applyNumberFormat="1" applyFont="1" applyFill="1" applyBorder="1" applyAlignment="1">
      <alignment horizontal="center" vertical="center"/>
    </xf>
    <xf numFmtId="2" fontId="39" fillId="0" borderId="11" xfId="57" applyNumberFormat="1" applyFont="1" applyFill="1" applyBorder="1" applyAlignment="1">
      <alignment horizontal="center" vertical="center"/>
    </xf>
    <xf numFmtId="2" fontId="39" fillId="0" borderId="15" xfId="0" applyNumberFormat="1" applyFont="1" applyBorder="1" applyAlignment="1">
      <alignment horizontal="center" vertical="center"/>
    </xf>
    <xf numFmtId="0" fontId="10" fillId="7" borderId="14" xfId="34" applyFont="1" applyFill="1" applyBorder="1" applyAlignment="1">
      <alignment horizontal="center" vertical="top" wrapText="1"/>
    </xf>
    <xf numFmtId="2" fontId="46" fillId="7" borderId="11" xfId="0" applyNumberFormat="1" applyFont="1" applyFill="1" applyBorder="1" applyAlignment="1">
      <alignment horizontal="center" vertical="center"/>
    </xf>
    <xf numFmtId="2" fontId="41" fillId="7" borderId="11" xfId="0" applyNumberFormat="1" applyFont="1" applyFill="1" applyBorder="1" applyAlignment="1">
      <alignment horizontal="center" vertical="center"/>
    </xf>
    <xf numFmtId="0" fontId="30" fillId="7" borderId="75" xfId="43" applyFont="1" applyFill="1" applyBorder="1" applyAlignment="1">
      <alignment horizontal="center" vertical="center" wrapText="1"/>
    </xf>
    <xf numFmtId="0" fontId="6" fillId="7" borderId="12" xfId="34" applyFont="1" applyFill="1" applyBorder="1" applyAlignment="1" applyProtection="1">
      <alignment vertical="center" wrapText="1"/>
      <protection locked="0"/>
    </xf>
    <xf numFmtId="0" fontId="26" fillId="0" borderId="0" xfId="0" applyFont="1"/>
    <xf numFmtId="0" fontId="0" fillId="7" borderId="14" xfId="34" applyFont="1" applyFill="1" applyBorder="1" applyAlignment="1">
      <alignment horizontal="center" vertical="center" wrapText="1"/>
    </xf>
    <xf numFmtId="0" fontId="10" fillId="0" borderId="0" xfId="0" applyFont="1" applyBorder="1" applyAlignment="1">
      <alignment horizontal="center" vertical="top" wrapText="1"/>
    </xf>
    <xf numFmtId="0" fontId="10" fillId="0" borderId="0" xfId="0" applyFont="1" applyAlignment="1">
      <alignment horizontal="center"/>
    </xf>
    <xf numFmtId="0" fontId="25" fillId="0" borderId="5" xfId="36" applyFont="1" applyBorder="1" applyAlignment="1">
      <alignment horizontal="center" vertical="center" textRotation="90" wrapText="1"/>
    </xf>
    <xf numFmtId="4" fontId="1" fillId="0" borderId="11" xfId="45" applyNumberFormat="1" applyFont="1" applyBorder="1" applyAlignment="1">
      <alignment horizontal="left" vertical="center" wrapText="1"/>
    </xf>
    <xf numFmtId="2" fontId="0" fillId="7" borderId="11" xfId="57" applyNumberFormat="1" applyFont="1" applyFill="1" applyBorder="1" applyAlignment="1">
      <alignment horizontal="center" vertical="center" wrapText="1"/>
    </xf>
    <xf numFmtId="0" fontId="0" fillId="7" borderId="9" xfId="0" applyFill="1" applyBorder="1" applyAlignment="1">
      <alignment horizontal="center" vertical="center"/>
    </xf>
    <xf numFmtId="2" fontId="39" fillId="7" borderId="11" xfId="57" applyNumberFormat="1" applyFont="1" applyFill="1" applyBorder="1" applyAlignment="1">
      <alignment horizontal="center" vertical="center" wrapText="1"/>
    </xf>
    <xf numFmtId="4" fontId="6" fillId="3" borderId="85" xfId="0" applyNumberFormat="1" applyFont="1" applyFill="1" applyBorder="1" applyAlignment="1">
      <alignment horizontal="center"/>
    </xf>
    <xf numFmtId="4" fontId="24" fillId="0" borderId="84" xfId="0" applyNumberFormat="1" applyFont="1" applyBorder="1" applyAlignment="1">
      <alignment horizontal="center"/>
    </xf>
    <xf numFmtId="4" fontId="0" fillId="0" borderId="9" xfId="0" applyNumberFormat="1" applyFont="1" applyFill="1" applyBorder="1" applyAlignment="1" applyProtection="1">
      <alignment horizontal="center" vertical="center" shrinkToFit="1"/>
      <protection locked="0"/>
    </xf>
    <xf numFmtId="2" fontId="23" fillId="0" borderId="9" xfId="0" applyNumberFormat="1" applyFont="1" applyBorder="1" applyAlignment="1">
      <alignment horizontal="center" vertical="center" wrapText="1"/>
    </xf>
    <xf numFmtId="2" fontId="23" fillId="0" borderId="9" xfId="0" applyNumberFormat="1" applyFont="1" applyFill="1" applyBorder="1" applyAlignment="1">
      <alignment horizontal="center" vertical="center" wrapText="1"/>
    </xf>
    <xf numFmtId="2" fontId="23" fillId="0" borderId="9" xfId="0" applyNumberFormat="1" applyFont="1" applyBorder="1" applyAlignment="1">
      <alignment horizontal="center" vertical="center"/>
    </xf>
    <xf numFmtId="2" fontId="23" fillId="0" borderId="9" xfId="47" applyNumberFormat="1" applyFont="1" applyBorder="1" applyAlignment="1">
      <alignment horizontal="center" vertical="center"/>
    </xf>
    <xf numFmtId="4" fontId="23" fillId="0" borderId="9" xfId="0" applyNumberFormat="1" applyFont="1" applyFill="1" applyBorder="1" applyAlignment="1">
      <alignment horizontal="center" vertical="center" wrapText="1"/>
    </xf>
    <xf numFmtId="4" fontId="0" fillId="7" borderId="9" xfId="0" applyNumberFormat="1" applyFont="1" applyFill="1" applyBorder="1" applyAlignment="1" applyProtection="1">
      <alignment horizontal="center" vertical="center" shrinkToFit="1"/>
      <protection locked="0"/>
    </xf>
    <xf numFmtId="2" fontId="23" fillId="0" borderId="9" xfId="20" applyNumberFormat="1" applyFont="1" applyBorder="1" applyAlignment="1">
      <alignment horizontal="center"/>
    </xf>
    <xf numFmtId="2" fontId="23" fillId="0" borderId="9" xfId="20" applyNumberFormat="1" applyFont="1" applyBorder="1" applyAlignment="1">
      <alignment horizontal="center" vertical="center"/>
    </xf>
    <xf numFmtId="0" fontId="0" fillId="7" borderId="34" xfId="0" applyFont="1" applyFill="1" applyBorder="1" applyAlignment="1">
      <alignment horizontal="center" vertical="center" wrapText="1"/>
    </xf>
    <xf numFmtId="0" fontId="22" fillId="7" borderId="9" xfId="0" applyFont="1" applyFill="1" applyBorder="1" applyAlignment="1">
      <alignment horizontal="left" vertical="center" wrapText="1"/>
    </xf>
    <xf numFmtId="0" fontId="8" fillId="7" borderId="9" xfId="33" applyFont="1" applyFill="1" applyBorder="1" applyAlignment="1" applyProtection="1">
      <alignment horizontal="left" vertical="center" wrapText="1"/>
      <protection locked="0"/>
    </xf>
    <xf numFmtId="0" fontId="23" fillId="7" borderId="9" xfId="0" applyFont="1" applyFill="1" applyBorder="1" applyAlignment="1">
      <alignment horizontal="center" vertical="center"/>
    </xf>
    <xf numFmtId="49" fontId="6" fillId="7" borderId="9" xfId="64" applyNumberFormat="1" applyFont="1" applyFill="1" applyBorder="1" applyAlignment="1">
      <alignment horizontal="left" vertical="center" wrapText="1"/>
    </xf>
    <xf numFmtId="49" fontId="23" fillId="7" borderId="9" xfId="64" applyNumberFormat="1" applyFont="1" applyFill="1" applyBorder="1" applyAlignment="1">
      <alignment horizontal="center" vertical="center"/>
    </xf>
    <xf numFmtId="1" fontId="23" fillId="7" borderId="9" xfId="64" applyNumberFormat="1" applyFont="1" applyFill="1" applyBorder="1" applyAlignment="1">
      <alignment horizontal="center" vertical="center"/>
    </xf>
    <xf numFmtId="0" fontId="6" fillId="7" borderId="9" xfId="64" applyNumberFormat="1" applyFont="1" applyFill="1" applyBorder="1" applyAlignment="1">
      <alignment horizontal="left" vertical="center" wrapText="1"/>
    </xf>
    <xf numFmtId="4" fontId="0" fillId="0" borderId="9" xfId="0" applyNumberFormat="1" applyFont="1" applyBorder="1" applyAlignment="1">
      <alignment horizontal="center"/>
    </xf>
    <xf numFmtId="4" fontId="6" fillId="0" borderId="9" xfId="64" applyNumberFormat="1" applyFont="1" applyBorder="1" applyAlignment="1">
      <alignment horizontal="center"/>
    </xf>
    <xf numFmtId="4" fontId="23" fillId="0" borderId="9" xfId="64" applyNumberFormat="1" applyFont="1" applyBorder="1" applyAlignment="1">
      <alignment horizontal="center" vertical="center"/>
    </xf>
    <xf numFmtId="0" fontId="0" fillId="7" borderId="9" xfId="64" applyNumberFormat="1" applyFont="1" applyFill="1" applyBorder="1" applyAlignment="1">
      <alignment horizontal="left" vertical="center" wrapText="1"/>
    </xf>
    <xf numFmtId="0" fontId="23" fillId="7" borderId="9" xfId="64" applyFont="1" applyFill="1" applyBorder="1" applyAlignment="1">
      <alignment horizontal="center" vertical="center"/>
    </xf>
    <xf numFmtId="4" fontId="0" fillId="7" borderId="9" xfId="0" applyNumberFormat="1" applyFont="1" applyFill="1" applyBorder="1" applyAlignment="1">
      <alignment horizontal="center" vertical="top" wrapText="1"/>
    </xf>
    <xf numFmtId="4" fontId="6" fillId="0" borderId="9" xfId="64" applyNumberFormat="1" applyFont="1" applyFill="1" applyBorder="1" applyAlignment="1">
      <alignment horizontal="center"/>
    </xf>
    <xf numFmtId="49" fontId="0" fillId="7" borderId="9" xfId="64" applyNumberFormat="1" applyFont="1" applyFill="1" applyBorder="1" applyAlignment="1">
      <alignment horizontal="left" vertical="center" wrapText="1"/>
    </xf>
    <xf numFmtId="2" fontId="0" fillId="0" borderId="9" xfId="0" applyNumberFormat="1" applyFont="1" applyBorder="1" applyAlignment="1">
      <alignment horizontal="center" vertical="top" wrapText="1"/>
    </xf>
    <xf numFmtId="4" fontId="6" fillId="7" borderId="9" xfId="64" applyNumberFormat="1" applyFont="1" applyFill="1" applyBorder="1" applyAlignment="1">
      <alignment horizontal="center"/>
    </xf>
    <xf numFmtId="2" fontId="0" fillId="0" borderId="9" xfId="0" applyNumberFormat="1" applyFont="1" applyBorder="1" applyAlignment="1">
      <alignment horizontal="center" vertical="center" wrapText="1"/>
    </xf>
    <xf numFmtId="4" fontId="6" fillId="0" borderId="9" xfId="64" applyNumberFormat="1" applyFont="1" applyBorder="1" applyAlignment="1">
      <alignment horizontal="center" vertical="center"/>
    </xf>
    <xf numFmtId="0" fontId="0" fillId="7" borderId="9" xfId="0" applyFont="1" applyFill="1" applyBorder="1" applyAlignment="1">
      <alignment horizontal="left" vertical="center" wrapText="1"/>
    </xf>
    <xf numFmtId="4" fontId="0" fillId="0" borderId="9" xfId="0" applyNumberFormat="1" applyFont="1" applyBorder="1" applyAlignment="1">
      <alignment horizontal="center" vertical="center"/>
    </xf>
    <xf numFmtId="4" fontId="6" fillId="7" borderId="9" xfId="64" applyNumberFormat="1" applyFont="1" applyFill="1" applyBorder="1" applyAlignment="1">
      <alignment horizontal="center" vertical="center"/>
    </xf>
    <xf numFmtId="4" fontId="23" fillId="0" borderId="9" xfId="64" applyNumberFormat="1" applyFont="1" applyBorder="1" applyAlignment="1">
      <alignment horizontal="left" vertical="center"/>
    </xf>
    <xf numFmtId="4" fontId="6" fillId="0" borderId="9" xfId="64" applyNumberFormat="1" applyFont="1" applyFill="1" applyBorder="1" applyAlignment="1">
      <alignment horizontal="center" vertical="center"/>
    </xf>
    <xf numFmtId="0" fontId="6" fillId="7" borderId="9" xfId="64" applyFont="1" applyFill="1" applyBorder="1" applyAlignment="1">
      <alignment horizontal="left" vertical="center" wrapText="1"/>
    </xf>
    <xf numFmtId="170" fontId="0" fillId="0" borderId="9" xfId="0" applyNumberFormat="1" applyFont="1" applyFill="1" applyBorder="1" applyAlignment="1" applyProtection="1">
      <alignment horizontal="center" vertical="center" shrinkToFit="1"/>
      <protection locked="0"/>
    </xf>
    <xf numFmtId="0" fontId="23" fillId="7" borderId="9" xfId="64" applyFont="1" applyFill="1" applyBorder="1" applyAlignment="1">
      <alignment horizontal="center" vertical="center" wrapText="1"/>
    </xf>
    <xf numFmtId="4" fontId="1" fillId="14" borderId="11" xfId="45" applyNumberFormat="1" applyFill="1" applyBorder="1" applyAlignment="1">
      <alignment horizontal="center" vertical="center" wrapText="1"/>
    </xf>
    <xf numFmtId="3" fontId="6" fillId="0" borderId="34" xfId="0" applyNumberFormat="1" applyFont="1" applyBorder="1" applyAlignment="1">
      <alignment horizontal="center" vertical="center" wrapText="1"/>
    </xf>
    <xf numFmtId="0" fontId="32" fillId="7" borderId="9" xfId="65" applyFont="1" applyFill="1" applyBorder="1" applyAlignment="1">
      <alignment wrapText="1"/>
    </xf>
    <xf numFmtId="0" fontId="32" fillId="7" borderId="9" xfId="65" applyFont="1" applyFill="1" applyBorder="1" applyAlignment="1">
      <alignment horizontal="center" vertical="center"/>
    </xf>
    <xf numFmtId="2" fontId="41" fillId="7" borderId="9" xfId="52" applyNumberFormat="1" applyFont="1" applyFill="1" applyBorder="1" applyAlignment="1">
      <alignment horizontal="center" vertical="center"/>
    </xf>
    <xf numFmtId="2" fontId="41" fillId="3" borderId="9" xfId="50" applyNumberFormat="1" applyFont="1" applyFill="1" applyBorder="1" applyAlignment="1">
      <alignment horizontal="center" vertical="center"/>
    </xf>
    <xf numFmtId="2" fontId="6" fillId="3" borderId="9" xfId="49" applyNumberFormat="1" applyFont="1" applyFill="1" applyBorder="1" applyAlignment="1">
      <alignment horizontal="center" vertical="center"/>
    </xf>
    <xf numFmtId="0" fontId="22" fillId="7" borderId="11" xfId="0" applyFont="1" applyFill="1" applyBorder="1" applyAlignment="1">
      <alignment horizontal="left" vertical="center" wrapText="1"/>
    </xf>
    <xf numFmtId="2" fontId="0" fillId="3" borderId="11" xfId="0" applyNumberFormat="1" applyFont="1" applyFill="1" applyBorder="1" applyAlignment="1">
      <alignment horizontal="center" vertical="center"/>
    </xf>
    <xf numFmtId="4" fontId="47" fillId="14" borderId="75" xfId="0" applyNumberFormat="1" applyFont="1" applyFill="1" applyBorder="1" applyAlignment="1">
      <alignment horizontal="center" vertical="center" wrapText="1"/>
    </xf>
    <xf numFmtId="4" fontId="0" fillId="14" borderId="75" xfId="0" applyNumberFormat="1" applyFont="1" applyFill="1" applyBorder="1" applyAlignment="1">
      <alignment horizontal="center" vertical="center" wrapText="1"/>
    </xf>
    <xf numFmtId="2" fontId="25" fillId="14" borderId="11" xfId="51" applyNumberFormat="1" applyFont="1" applyFill="1" applyBorder="1" applyAlignment="1">
      <alignment horizontal="center" vertical="center"/>
    </xf>
    <xf numFmtId="4" fontId="6" fillId="14" borderId="11" xfId="20" applyNumberFormat="1" applyFont="1" applyFill="1" applyBorder="1" applyAlignment="1">
      <alignment horizontal="center" vertical="center" wrapText="1"/>
    </xf>
    <xf numFmtId="0" fontId="32" fillId="14" borderId="9" xfId="65" applyFont="1" applyFill="1" applyBorder="1" applyAlignment="1">
      <alignment horizontal="center" vertical="center"/>
    </xf>
    <xf numFmtId="0" fontId="0" fillId="14" borderId="9" xfId="0" applyFill="1" applyBorder="1" applyAlignment="1">
      <alignment horizontal="center" vertical="center"/>
    </xf>
    <xf numFmtId="2" fontId="6" fillId="14" borderId="75" xfId="34" applyNumberFormat="1" applyFont="1" applyFill="1" applyBorder="1" applyAlignment="1" applyProtection="1">
      <alignment horizontal="center" vertical="center"/>
      <protection locked="0"/>
    </xf>
    <xf numFmtId="4" fontId="47" fillId="14" borderId="0" xfId="0" applyNumberFormat="1" applyFont="1" applyFill="1" applyBorder="1" applyAlignment="1">
      <alignment horizontal="center" vertical="center" wrapText="1"/>
    </xf>
    <xf numFmtId="169" fontId="25" fillId="14" borderId="9" xfId="0" applyNumberFormat="1" applyFont="1" applyFill="1" applyBorder="1" applyAlignment="1">
      <alignment horizontal="center" vertical="center" wrapText="1"/>
    </xf>
    <xf numFmtId="0" fontId="8" fillId="4" borderId="30" xfId="33" applyFont="1" applyFill="1" applyBorder="1" applyAlignment="1" applyProtection="1">
      <alignment horizontal="left" vertical="center" wrapText="1"/>
      <protection locked="0"/>
    </xf>
    <xf numFmtId="3" fontId="0" fillId="0" borderId="86" xfId="0" applyNumberFormat="1" applyFont="1" applyBorder="1" applyAlignment="1">
      <alignment horizontal="center" vertical="center" wrapText="1"/>
    </xf>
    <xf numFmtId="2" fontId="0" fillId="7" borderId="9" xfId="41" applyNumberFormat="1" applyFont="1" applyFill="1" applyBorder="1" applyAlignment="1">
      <alignment horizontal="center" vertical="center"/>
    </xf>
    <xf numFmtId="0" fontId="25" fillId="7" borderId="34" xfId="41" applyFont="1" applyFill="1" applyBorder="1" applyAlignment="1">
      <alignment horizontal="center" vertical="center"/>
    </xf>
    <xf numFmtId="0" fontId="30" fillId="7" borderId="9" xfId="0" applyFont="1" applyFill="1" applyBorder="1" applyAlignment="1">
      <alignment horizontal="center" vertical="center" wrapText="1"/>
    </xf>
    <xf numFmtId="0" fontId="25" fillId="7" borderId="9" xfId="0" applyFont="1" applyFill="1" applyBorder="1" applyAlignment="1">
      <alignment horizontal="left" vertical="center"/>
    </xf>
    <xf numFmtId="2" fontId="6" fillId="0" borderId="9" xfId="70" applyNumberFormat="1" applyFont="1" applyFill="1" applyBorder="1" applyAlignment="1">
      <alignment horizontal="center" vertical="center" shrinkToFit="1"/>
    </xf>
    <xf numFmtId="2" fontId="0" fillId="7" borderId="9" xfId="54" applyNumberFormat="1" applyFont="1" applyFill="1" applyBorder="1" applyAlignment="1">
      <alignment horizontal="center" vertical="center"/>
    </xf>
    <xf numFmtId="2" fontId="23" fillId="7" borderId="9" xfId="64" applyNumberFormat="1" applyFont="1" applyFill="1" applyBorder="1" applyAlignment="1">
      <alignment vertical="center" wrapText="1"/>
    </xf>
    <xf numFmtId="2" fontId="23" fillId="7" borderId="9" xfId="64" applyNumberFormat="1" applyFont="1" applyFill="1" applyBorder="1" applyAlignment="1">
      <alignment horizontal="center" vertical="center"/>
    </xf>
    <xf numFmtId="4" fontId="23" fillId="0" borderId="9" xfId="0" applyNumberFormat="1" applyFont="1" applyBorder="1" applyAlignment="1">
      <alignment horizontal="center" vertical="center" wrapText="1"/>
    </xf>
    <xf numFmtId="3" fontId="23" fillId="0" borderId="9" xfId="0" applyNumberFormat="1" applyFont="1" applyFill="1" applyBorder="1" applyAlignment="1">
      <alignment horizontal="center" vertical="center" wrapText="1"/>
    </xf>
    <xf numFmtId="2" fontId="0" fillId="0" borderId="9" xfId="0" applyNumberFormat="1" applyFont="1" applyFill="1" applyBorder="1" applyAlignment="1">
      <alignment horizontal="center" vertical="center"/>
    </xf>
    <xf numFmtId="2" fontId="59" fillId="0" borderId="9" xfId="64" applyNumberFormat="1" applyFont="1" applyFill="1" applyBorder="1" applyAlignment="1">
      <alignment vertical="center" wrapText="1"/>
    </xf>
    <xf numFmtId="0" fontId="59" fillId="0" borderId="9" xfId="64" applyFont="1" applyFill="1" applyBorder="1" applyAlignment="1">
      <alignment horizontal="left" vertical="center"/>
    </xf>
    <xf numFmtId="4" fontId="59" fillId="0" borderId="9" xfId="0" applyNumberFormat="1" applyFont="1" applyBorder="1" applyAlignment="1">
      <alignment horizontal="center" vertical="center" wrapText="1"/>
    </xf>
    <xf numFmtId="3" fontId="59" fillId="0" borderId="9" xfId="0" applyNumberFormat="1" applyFont="1" applyFill="1" applyBorder="1" applyAlignment="1">
      <alignment horizontal="center" vertical="center" wrapText="1"/>
    </xf>
    <xf numFmtId="2" fontId="6" fillId="0" borderId="9" xfId="0" applyNumberFormat="1" applyFont="1" applyFill="1" applyBorder="1" applyAlignment="1">
      <alignment horizontal="center" vertical="center"/>
    </xf>
    <xf numFmtId="0" fontId="6" fillId="0" borderId="9" xfId="20" applyFont="1" applyBorder="1" applyAlignment="1">
      <alignment horizontal="center"/>
    </xf>
    <xf numFmtId="2" fontId="6" fillId="0" borderId="9" xfId="64" applyNumberFormat="1" applyFont="1" applyFill="1" applyBorder="1" applyAlignment="1">
      <alignment vertical="center" wrapText="1"/>
    </xf>
    <xf numFmtId="2" fontId="6" fillId="0" borderId="9" xfId="64" applyNumberFormat="1" applyFont="1" applyFill="1" applyBorder="1" applyAlignment="1">
      <alignment horizontal="center" vertical="center" wrapText="1"/>
    </xf>
    <xf numFmtId="2" fontId="39" fillId="7" borderId="9" xfId="41" applyNumberFormat="1" applyFont="1" applyFill="1" applyBorder="1" applyAlignment="1">
      <alignment horizontal="center" vertical="center"/>
    </xf>
    <xf numFmtId="2" fontId="6" fillId="0" borderId="87" xfId="0" applyNumberFormat="1" applyFont="1" applyFill="1" applyBorder="1" applyAlignment="1">
      <alignment horizontal="center" vertical="center"/>
    </xf>
    <xf numFmtId="2" fontId="6" fillId="0" borderId="9" xfId="0" applyNumberFormat="1" applyFont="1" applyFill="1" applyBorder="1" applyAlignment="1">
      <alignment horizontal="center" vertical="center" wrapText="1"/>
    </xf>
    <xf numFmtId="2" fontId="25" fillId="14" borderId="9" xfId="41" applyNumberFormat="1" applyFont="1" applyFill="1" applyBorder="1" applyAlignment="1">
      <alignment horizontal="center" vertical="center"/>
    </xf>
    <xf numFmtId="2" fontId="59" fillId="0" borderId="9" xfId="64" applyNumberFormat="1" applyFont="1" applyFill="1" applyBorder="1" applyAlignment="1">
      <alignment horizontal="left" vertical="center" wrapText="1"/>
    </xf>
    <xf numFmtId="1" fontId="59" fillId="0" borderId="9" xfId="0" applyNumberFormat="1" applyFont="1" applyFill="1" applyBorder="1" applyAlignment="1">
      <alignment horizontal="center" vertical="center" wrapText="1"/>
    </xf>
    <xf numFmtId="2" fontId="25" fillId="0" borderId="9" xfId="64" applyNumberFormat="1" applyFont="1" applyFill="1" applyBorder="1" applyAlignment="1">
      <alignment horizontal="left" vertical="center" wrapText="1"/>
    </xf>
    <xf numFmtId="2" fontId="0" fillId="0" borderId="9" xfId="0" applyNumberFormat="1" applyFont="1" applyFill="1" applyBorder="1" applyAlignment="1">
      <alignment horizontal="center" vertical="center" wrapText="1"/>
    </xf>
    <xf numFmtId="2" fontId="0" fillId="0" borderId="9" xfId="47" applyNumberFormat="1" applyFont="1" applyBorder="1" applyAlignment="1">
      <alignment horizontal="center" vertical="center"/>
    </xf>
    <xf numFmtId="2" fontId="0" fillId="0" borderId="9" xfId="64" applyNumberFormat="1" applyFont="1" applyFill="1" applyBorder="1" applyAlignment="1">
      <alignment horizontal="center" vertical="center" wrapText="1"/>
    </xf>
    <xf numFmtId="4" fontId="59" fillId="0" borderId="9" xfId="0" applyNumberFormat="1" applyFont="1" applyBorder="1" applyAlignment="1">
      <alignment horizontal="left" vertical="center" wrapText="1"/>
    </xf>
    <xf numFmtId="2" fontId="25" fillId="7" borderId="9" xfId="54" applyNumberFormat="1" applyFont="1" applyFill="1" applyBorder="1" applyAlignment="1">
      <alignment horizontal="center" vertical="center"/>
    </xf>
    <xf numFmtId="2" fontId="23" fillId="0" borderId="9" xfId="64" applyNumberFormat="1" applyFont="1" applyFill="1" applyBorder="1" applyAlignment="1">
      <alignment vertical="center" wrapText="1"/>
    </xf>
    <xf numFmtId="0" fontId="23" fillId="0" borderId="9" xfId="64" applyFont="1" applyFill="1" applyBorder="1" applyAlignment="1">
      <alignment horizontal="left" vertical="center" wrapText="1"/>
    </xf>
    <xf numFmtId="4" fontId="23" fillId="0" borderId="9" xfId="0" applyNumberFormat="1" applyFont="1" applyBorder="1" applyAlignment="1">
      <alignment horizontal="left" vertical="center" wrapText="1"/>
    </xf>
    <xf numFmtId="0" fontId="59" fillId="0" borderId="9" xfId="64" applyFont="1" applyFill="1" applyBorder="1" applyAlignment="1">
      <alignment horizontal="left" wrapText="1"/>
    </xf>
    <xf numFmtId="0" fontId="59" fillId="0" borderId="9" xfId="64" applyFont="1" applyFill="1" applyBorder="1" applyAlignment="1">
      <alignment horizontal="left"/>
    </xf>
    <xf numFmtId="0" fontId="59" fillId="0" borderId="9" xfId="68" applyFont="1" applyFill="1" applyBorder="1" applyAlignment="1">
      <alignment horizontal="left" vertical="center" wrapText="1"/>
    </xf>
    <xf numFmtId="0" fontId="59" fillId="0" borderId="9" xfId="0" applyFont="1" applyFill="1" applyBorder="1" applyAlignment="1">
      <alignment horizontal="left" vertical="center" wrapText="1"/>
    </xf>
    <xf numFmtId="9" fontId="23" fillId="7" borderId="9" xfId="64" applyNumberFormat="1" applyFont="1" applyFill="1" applyBorder="1" applyAlignment="1">
      <alignment horizontal="left" vertical="center" wrapText="1"/>
    </xf>
    <xf numFmtId="2" fontId="6" fillId="7" borderId="9" xfId="47" applyNumberFormat="1" applyFont="1" applyFill="1" applyBorder="1" applyAlignment="1">
      <alignment horizontal="center" vertical="center"/>
    </xf>
    <xf numFmtId="3" fontId="0" fillId="0" borderId="9" xfId="0" applyNumberFormat="1" applyFont="1" applyBorder="1" applyAlignment="1">
      <alignment horizontal="left" vertical="center" wrapText="1"/>
    </xf>
    <xf numFmtId="2" fontId="0" fillId="14" borderId="9" xfId="41" applyNumberFormat="1" applyFont="1" applyFill="1" applyBorder="1" applyAlignment="1">
      <alignment horizontal="center" vertical="center"/>
    </xf>
    <xf numFmtId="2" fontId="6" fillId="0" borderId="9" xfId="19" applyNumberFormat="1" applyFont="1" applyFill="1" applyBorder="1" applyAlignment="1">
      <alignment horizontal="center" vertical="center" wrapText="1"/>
    </xf>
    <xf numFmtId="0" fontId="25" fillId="7" borderId="34" xfId="41" applyFont="1" applyFill="1" applyBorder="1"/>
    <xf numFmtId="0" fontId="25" fillId="14" borderId="9" xfId="0" applyFont="1" applyFill="1" applyBorder="1" applyAlignment="1">
      <alignment horizontal="left" vertical="center"/>
    </xf>
    <xf numFmtId="0" fontId="25" fillId="14" borderId="9" xfId="0" applyFont="1" applyFill="1" applyBorder="1" applyAlignment="1">
      <alignment horizontal="center" vertical="center"/>
    </xf>
    <xf numFmtId="0" fontId="60" fillId="0" borderId="9" xfId="0" applyFont="1" applyFill="1" applyBorder="1" applyAlignment="1">
      <alignment horizontal="left" wrapText="1"/>
    </xf>
    <xf numFmtId="0" fontId="26" fillId="7" borderId="9" xfId="41" applyFont="1" applyFill="1" applyBorder="1"/>
    <xf numFmtId="0" fontId="25" fillId="0" borderId="9" xfId="64" applyNumberFormat="1" applyFont="1" applyFill="1" applyBorder="1" applyAlignment="1">
      <alignment horizontal="left" vertical="center" wrapText="1"/>
    </xf>
    <xf numFmtId="49" fontId="25" fillId="0" borderId="9" xfId="64" applyNumberFormat="1" applyFont="1" applyFill="1" applyBorder="1" applyAlignment="1">
      <alignment horizontal="center" vertical="center"/>
    </xf>
    <xf numFmtId="1" fontId="25" fillId="7" borderId="9" xfId="64" applyNumberFormat="1" applyFont="1" applyFill="1" applyBorder="1" applyAlignment="1">
      <alignment horizontal="center" vertical="center"/>
    </xf>
    <xf numFmtId="165" fontId="11" fillId="0" borderId="5" xfId="36" applyNumberFormat="1" applyFont="1" applyFill="1" applyBorder="1" applyAlignment="1">
      <alignment horizontal="right" vertical="center"/>
    </xf>
    <xf numFmtId="0" fontId="29" fillId="7" borderId="34" xfId="0" applyFont="1" applyFill="1" applyBorder="1" applyAlignment="1">
      <alignment vertical="center" wrapText="1"/>
    </xf>
    <xf numFmtId="0" fontId="25" fillId="0" borderId="34" xfId="0" applyFont="1" applyFill="1" applyBorder="1" applyAlignment="1">
      <alignment horizontal="center" vertical="center" wrapText="1"/>
    </xf>
    <xf numFmtId="0" fontId="25" fillId="0" borderId="34" xfId="0" applyFont="1" applyBorder="1" applyAlignment="1">
      <alignment horizontal="center" vertical="center" wrapText="1"/>
    </xf>
    <xf numFmtId="0" fontId="25" fillId="7" borderId="34" xfId="0" applyFont="1" applyFill="1" applyBorder="1" applyAlignment="1">
      <alignment horizontal="center" vertical="center" wrapText="1"/>
    </xf>
    <xf numFmtId="0" fontId="29" fillId="7" borderId="34" xfId="0" applyFont="1" applyFill="1" applyBorder="1" applyAlignment="1">
      <alignment vertical="center"/>
    </xf>
    <xf numFmtId="0" fontId="25" fillId="0" borderId="34" xfId="0" applyFont="1" applyBorder="1" applyAlignment="1">
      <alignment horizontal="center" vertical="center"/>
    </xf>
    <xf numFmtId="3" fontId="25" fillId="3" borderId="9" xfId="0" applyNumberFormat="1" applyFont="1" applyFill="1" applyBorder="1" applyAlignment="1">
      <alignment horizontal="center" vertical="center"/>
    </xf>
    <xf numFmtId="170" fontId="25" fillId="3" borderId="9" xfId="0" applyNumberFormat="1" applyFont="1" applyFill="1" applyBorder="1" applyAlignment="1">
      <alignment horizontal="center" vertical="center"/>
    </xf>
    <xf numFmtId="0" fontId="29" fillId="7" borderId="9" xfId="0" applyFont="1" applyFill="1" applyBorder="1" applyAlignment="1">
      <alignment horizontal="left" vertical="center"/>
    </xf>
    <xf numFmtId="0" fontId="50" fillId="0" borderId="9" xfId="0" applyFont="1" applyFill="1" applyBorder="1" applyAlignment="1">
      <alignment horizontal="center"/>
    </xf>
    <xf numFmtId="0" fontId="50" fillId="0" borderId="9" xfId="0" applyFont="1" applyFill="1" applyBorder="1" applyAlignment="1">
      <alignment horizontal="center" vertical="center"/>
    </xf>
    <xf numFmtId="0" fontId="6" fillId="7" borderId="34" xfId="41" applyFont="1" applyFill="1" applyBorder="1" applyAlignment="1">
      <alignment horizontal="center" vertical="center"/>
    </xf>
    <xf numFmtId="0" fontId="6" fillId="7" borderId="9" xfId="41" applyFont="1" applyFill="1" applyBorder="1"/>
    <xf numFmtId="0" fontId="6" fillId="7" borderId="9" xfId="0" applyFont="1" applyFill="1" applyBorder="1" applyAlignment="1">
      <alignment horizontal="left" vertical="center" wrapText="1"/>
    </xf>
    <xf numFmtId="0" fontId="0" fillId="7" borderId="9" xfId="0" applyFont="1" applyFill="1" applyBorder="1" applyAlignment="1">
      <alignment horizontal="center" vertical="top" wrapText="1"/>
    </xf>
    <xf numFmtId="0" fontId="6" fillId="0" borderId="9" xfId="0" applyFont="1" applyBorder="1" applyAlignment="1">
      <alignment horizontal="center" vertical="center"/>
    </xf>
    <xf numFmtId="2" fontId="6" fillId="0" borderId="9" xfId="41" applyNumberFormat="1" applyFont="1" applyBorder="1" applyAlignment="1">
      <alignment horizontal="center" vertical="center"/>
    </xf>
    <xf numFmtId="2" fontId="25" fillId="14" borderId="9" xfId="47" applyNumberFormat="1" applyFont="1" applyFill="1" applyBorder="1" applyAlignment="1">
      <alignment horizontal="center" vertical="center"/>
    </xf>
    <xf numFmtId="4" fontId="25" fillId="14" borderId="9" xfId="0" applyNumberFormat="1" applyFont="1" applyFill="1" applyBorder="1" applyAlignment="1" applyProtection="1">
      <alignment horizontal="center" vertical="center" shrinkToFit="1"/>
      <protection locked="0"/>
    </xf>
    <xf numFmtId="2" fontId="25" fillId="14" borderId="9" xfId="0" applyNumberFormat="1" applyFont="1" applyFill="1" applyBorder="1" applyAlignment="1">
      <alignment horizontal="center" vertical="center"/>
    </xf>
    <xf numFmtId="0" fontId="25" fillId="7" borderId="9" xfId="41" applyFont="1" applyFill="1" applyBorder="1" applyAlignment="1">
      <alignment horizontal="center" vertical="center"/>
    </xf>
    <xf numFmtId="0" fontId="22" fillId="14" borderId="9" xfId="0" applyFont="1" applyFill="1" applyBorder="1" applyAlignment="1">
      <alignment horizontal="left" vertical="center"/>
    </xf>
    <xf numFmtId="49" fontId="0" fillId="14" borderId="9" xfId="69" applyNumberFormat="1" applyFont="1" applyFill="1" applyBorder="1" applyAlignment="1">
      <alignment horizontal="center" vertical="center"/>
    </xf>
    <xf numFmtId="0" fontId="0" fillId="14" borderId="9" xfId="0" applyFont="1" applyFill="1" applyBorder="1" applyAlignment="1">
      <alignment horizontal="center" vertical="top" wrapText="1"/>
    </xf>
    <xf numFmtId="49" fontId="22" fillId="0" borderId="9" xfId="0" applyNumberFormat="1" applyFont="1" applyBorder="1" applyAlignment="1">
      <alignment horizontal="left" vertical="center" wrapText="1"/>
    </xf>
    <xf numFmtId="49" fontId="22" fillId="0" borderId="9" xfId="0" applyNumberFormat="1" applyFont="1" applyBorder="1" applyAlignment="1">
      <alignment vertical="center" wrapText="1"/>
    </xf>
    <xf numFmtId="0" fontId="0" fillId="0" borderId="9" xfId="0" applyFont="1" applyFill="1" applyBorder="1" applyAlignment="1">
      <alignment horizontal="center" vertical="center" wrapText="1"/>
    </xf>
    <xf numFmtId="0" fontId="0" fillId="0" borderId="9" xfId="0" applyFont="1" applyFill="1" applyBorder="1" applyAlignment="1">
      <alignment horizontal="left" vertical="center" wrapText="1"/>
    </xf>
    <xf numFmtId="49" fontId="0" fillId="0" borderId="9" xfId="34" applyNumberFormat="1" applyFont="1" applyFill="1" applyBorder="1" applyAlignment="1">
      <alignment horizontal="left" vertical="center" wrapText="1"/>
    </xf>
    <xf numFmtId="49" fontId="0" fillId="0" borderId="9" xfId="34" applyNumberFormat="1" applyFont="1" applyFill="1" applyBorder="1" applyAlignment="1">
      <alignment horizontal="center" vertical="center" wrapText="1"/>
    </xf>
    <xf numFmtId="0" fontId="0" fillId="0" borderId="9" xfId="0" applyFont="1" applyBorder="1" applyAlignment="1">
      <alignment horizontal="left"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0" fillId="0" borderId="9" xfId="69" applyNumberFormat="1" applyFont="1" applyBorder="1" applyAlignment="1">
      <alignment horizontal="left" vertical="center" wrapText="1"/>
    </xf>
    <xf numFmtId="49" fontId="0" fillId="0" borderId="9" xfId="69" applyNumberFormat="1" applyFont="1" applyBorder="1" applyAlignment="1">
      <alignment horizontal="center" vertical="center" wrapText="1"/>
    </xf>
    <xf numFmtId="0" fontId="0" fillId="0" borderId="9" xfId="0" applyNumberFormat="1" applyFont="1" applyFill="1" applyBorder="1" applyAlignment="1">
      <alignment horizontal="center" vertical="center" wrapText="1"/>
    </xf>
    <xf numFmtId="0" fontId="0" fillId="9" borderId="9" xfId="0" applyFont="1" applyFill="1" applyBorder="1" applyAlignment="1">
      <alignment horizontal="left" vertical="center" wrapText="1"/>
    </xf>
    <xf numFmtId="0" fontId="41" fillId="0" borderId="9" xfId="0" applyNumberFormat="1" applyFont="1" applyFill="1" applyBorder="1" applyAlignment="1">
      <alignment horizontal="center" vertical="center" wrapText="1"/>
    </xf>
    <xf numFmtId="0" fontId="41" fillId="0" borderId="9" xfId="0" applyFont="1" applyFill="1" applyBorder="1" applyAlignment="1">
      <alignment horizontal="center" vertical="center" wrapText="1"/>
    </xf>
    <xf numFmtId="0" fontId="41" fillId="9" borderId="9" xfId="0" applyFont="1" applyFill="1" applyBorder="1" applyAlignment="1">
      <alignment horizontal="center"/>
    </xf>
    <xf numFmtId="0" fontId="41" fillId="9" borderId="9" xfId="0" applyFont="1" applyFill="1" applyBorder="1" applyAlignment="1">
      <alignment horizontal="center" vertical="center" wrapText="1"/>
    </xf>
    <xf numFmtId="0" fontId="41" fillId="7" borderId="9" xfId="0" applyNumberFormat="1" applyFont="1" applyFill="1" applyBorder="1" applyAlignment="1">
      <alignment horizontal="center" vertical="center" wrapText="1"/>
    </xf>
    <xf numFmtId="0" fontId="0" fillId="0" borderId="9" xfId="0" applyFont="1" applyFill="1" applyBorder="1" applyAlignment="1">
      <alignment horizontal="left" vertical="top" wrapText="1"/>
    </xf>
    <xf numFmtId="49" fontId="22" fillId="14" borderId="9" xfId="0" applyNumberFormat="1" applyFont="1" applyFill="1" applyBorder="1" applyAlignment="1">
      <alignment vertical="center" wrapText="1"/>
    </xf>
    <xf numFmtId="0" fontId="22" fillId="14" borderId="9" xfId="0" applyFont="1" applyFill="1" applyBorder="1" applyAlignment="1">
      <alignment horizontal="left" vertical="top" wrapText="1"/>
    </xf>
    <xf numFmtId="0" fontId="22" fillId="7" borderId="9" xfId="0" applyFont="1" applyFill="1" applyBorder="1" applyAlignment="1">
      <alignment horizontal="left" vertical="top" wrapText="1"/>
    </xf>
    <xf numFmtId="1" fontId="0" fillId="0" borderId="9" xfId="0" applyNumberFormat="1" applyFont="1" applyFill="1" applyBorder="1" applyAlignment="1">
      <alignment horizontal="center" vertical="center" wrapText="1"/>
    </xf>
    <xf numFmtId="169" fontId="0" fillId="0" borderId="9" xfId="0" applyNumberFormat="1" applyFont="1" applyFill="1" applyBorder="1" applyAlignment="1">
      <alignment horizontal="center" vertical="center" wrapText="1"/>
    </xf>
    <xf numFmtId="0" fontId="0" fillId="0" borderId="9" xfId="0" applyNumberFormat="1" applyFont="1" applyFill="1" applyBorder="1" applyAlignment="1">
      <alignment horizontal="center" wrapText="1"/>
    </xf>
    <xf numFmtId="49" fontId="0" fillId="0" borderId="9" xfId="0" applyNumberFormat="1" applyFont="1" applyBorder="1" applyAlignment="1">
      <alignment vertical="center" wrapText="1"/>
    </xf>
    <xf numFmtId="49" fontId="0" fillId="7" borderId="9" xfId="0" applyNumberFormat="1" applyFont="1" applyFill="1" applyBorder="1" applyAlignment="1">
      <alignment horizontal="center" vertical="center" wrapText="1"/>
    </xf>
    <xf numFmtId="0" fontId="0" fillId="0" borderId="9" xfId="0" applyFont="1" applyFill="1" applyBorder="1" applyAlignment="1">
      <alignment horizontal="center" vertical="top" wrapText="1"/>
    </xf>
    <xf numFmtId="0" fontId="0" fillId="0" borderId="9" xfId="0" applyFont="1" applyFill="1" applyBorder="1" applyAlignment="1">
      <alignment horizontal="center" wrapText="1"/>
    </xf>
    <xf numFmtId="49" fontId="22" fillId="14" borderId="9" xfId="0" applyNumberFormat="1" applyFont="1" applyFill="1" applyBorder="1" applyAlignment="1">
      <alignment horizontal="left" wrapText="1"/>
    </xf>
    <xf numFmtId="0" fontId="0" fillId="14" borderId="9" xfId="0" applyNumberFormat="1" applyFont="1" applyFill="1" applyBorder="1" applyAlignment="1">
      <alignment horizontal="center" vertical="top" wrapText="1"/>
    </xf>
    <xf numFmtId="49" fontId="0" fillId="0" borderId="9" xfId="0" applyNumberFormat="1" applyFont="1" applyFill="1" applyBorder="1" applyAlignment="1">
      <alignment horizontal="left" vertical="top" wrapText="1"/>
    </xf>
    <xf numFmtId="0" fontId="0" fillId="0" borderId="9" xfId="0" applyNumberFormat="1" applyFont="1" applyFill="1" applyBorder="1" applyAlignment="1">
      <alignment horizontal="center" vertical="top" wrapText="1"/>
    </xf>
    <xf numFmtId="49" fontId="0" fillId="0" borderId="9" xfId="69" applyNumberFormat="1" applyFont="1" applyBorder="1" applyAlignment="1">
      <alignment horizontal="center" vertical="center"/>
    </xf>
    <xf numFmtId="2" fontId="30" fillId="0" borderId="88" xfId="64" applyNumberFormat="1" applyFont="1" applyFill="1" applyBorder="1" applyAlignment="1">
      <alignment vertical="center" wrapText="1"/>
    </xf>
    <xf numFmtId="2" fontId="61" fillId="0" borderId="88" xfId="64" applyNumberFormat="1" applyFont="1" applyFill="1" applyBorder="1" applyAlignment="1">
      <alignment vertical="center" wrapText="1"/>
    </xf>
    <xf numFmtId="2" fontId="61" fillId="0" borderId="88" xfId="64" applyNumberFormat="1" applyFont="1" applyFill="1" applyBorder="1" applyAlignment="1">
      <alignment vertical="center"/>
    </xf>
    <xf numFmtId="169" fontId="50" fillId="14" borderId="11" xfId="0" applyNumberFormat="1" applyFont="1" applyFill="1" applyBorder="1" applyAlignment="1">
      <alignment horizontal="center" vertical="center"/>
    </xf>
    <xf numFmtId="2" fontId="6" fillId="14" borderId="11" xfId="57" applyNumberFormat="1" applyFont="1" applyFill="1" applyBorder="1" applyAlignment="1">
      <alignment horizontal="center" vertical="center" wrapText="1"/>
    </xf>
    <xf numFmtId="3" fontId="1" fillId="7" borderId="38" xfId="45" applyNumberFormat="1" applyFill="1" applyBorder="1" applyAlignment="1">
      <alignment horizontal="center" vertical="center" wrapText="1"/>
    </xf>
    <xf numFmtId="4" fontId="1" fillId="7" borderId="11" xfId="45" applyNumberFormat="1" applyFill="1" applyBorder="1" applyAlignment="1">
      <alignment horizontal="left" vertical="center" wrapText="1"/>
    </xf>
    <xf numFmtId="4" fontId="1" fillId="7" borderId="11" xfId="45" applyNumberFormat="1" applyFont="1" applyFill="1" applyBorder="1" applyAlignment="1">
      <alignment horizontal="left" vertical="center" wrapText="1"/>
    </xf>
    <xf numFmtId="0" fontId="10" fillId="0" borderId="0" xfId="0" applyFont="1" applyBorder="1" applyAlignment="1">
      <alignment horizontal="center" vertical="top" wrapText="1"/>
    </xf>
    <xf numFmtId="0" fontId="10" fillId="0" borderId="0" xfId="0" applyFont="1" applyAlignment="1">
      <alignment horizontal="center"/>
    </xf>
    <xf numFmtId="0" fontId="25" fillId="0" borderId="5" xfId="36" applyFont="1" applyBorder="1" applyAlignment="1">
      <alignment horizontal="center" vertical="center" textRotation="90" wrapText="1"/>
    </xf>
    <xf numFmtId="3" fontId="1" fillId="14" borderId="38" xfId="45" applyNumberFormat="1" applyFill="1" applyBorder="1" applyAlignment="1">
      <alignment horizontal="center" vertical="center" wrapText="1"/>
    </xf>
    <xf numFmtId="4" fontId="51" fillId="14" borderId="11" xfId="45" applyNumberFormat="1" applyFont="1" applyFill="1" applyBorder="1" applyAlignment="1">
      <alignment horizontal="left" vertical="center" wrapText="1"/>
    </xf>
    <xf numFmtId="4" fontId="1" fillId="14" borderId="11" xfId="45" applyNumberFormat="1" applyFont="1" applyFill="1" applyBorder="1" applyAlignment="1">
      <alignment horizontal="left" vertical="center" wrapText="1"/>
    </xf>
    <xf numFmtId="4" fontId="1" fillId="14" borderId="11" xfId="45" applyNumberFormat="1" applyFill="1" applyBorder="1" applyAlignment="1">
      <alignment horizontal="left" vertical="center" wrapText="1"/>
    </xf>
    <xf numFmtId="172" fontId="32" fillId="7" borderId="11" xfId="45" applyNumberFormat="1" applyFont="1" applyFill="1" applyBorder="1" applyAlignment="1">
      <alignment horizontal="center" vertical="center" wrapText="1"/>
    </xf>
    <xf numFmtId="4" fontId="32" fillId="7" borderId="11" xfId="45" applyNumberFormat="1" applyFont="1" applyFill="1" applyBorder="1" applyAlignment="1">
      <alignment horizontal="center" vertical="center" wrapText="1"/>
    </xf>
    <xf numFmtId="4" fontId="6" fillId="7" borderId="9" xfId="45" applyNumberFormat="1" applyFont="1" applyFill="1" applyBorder="1" applyAlignment="1">
      <alignment horizontal="center" vertical="center" wrapText="1"/>
    </xf>
    <xf numFmtId="0" fontId="6" fillId="14" borderId="14" xfId="34" applyFont="1" applyFill="1" applyBorder="1" applyAlignment="1">
      <alignment horizontal="center" vertical="center" wrapText="1"/>
    </xf>
    <xf numFmtId="0" fontId="30" fillId="14" borderId="11" xfId="55" applyFont="1" applyFill="1" applyBorder="1" applyAlignment="1">
      <alignment horizontal="center" vertical="center" wrapText="1"/>
    </xf>
    <xf numFmtId="0" fontId="0" fillId="14" borderId="11" xfId="34" applyFont="1" applyFill="1" applyBorder="1" applyAlignment="1" applyProtection="1">
      <alignment vertical="center" wrapText="1"/>
      <protection locked="0"/>
    </xf>
    <xf numFmtId="0" fontId="0" fillId="14" borderId="11" xfId="34" applyFont="1" applyFill="1" applyBorder="1" applyAlignment="1" applyProtection="1">
      <alignment horizontal="center" vertical="center"/>
      <protection locked="0"/>
    </xf>
    <xf numFmtId="2" fontId="0" fillId="14" borderId="11" xfId="34" applyNumberFormat="1" applyFont="1" applyFill="1" applyBorder="1" applyAlignment="1" applyProtection="1">
      <alignment horizontal="center" vertical="center"/>
      <protection locked="0"/>
    </xf>
    <xf numFmtId="0" fontId="25" fillId="0" borderId="89" xfId="36" applyFont="1" applyBorder="1" applyAlignment="1">
      <alignment horizontal="center" vertical="center"/>
    </xf>
    <xf numFmtId="0" fontId="30" fillId="0" borderId="90" xfId="0" applyFont="1" applyFill="1" applyBorder="1" applyAlignment="1">
      <alignment horizontal="center" vertical="center" wrapText="1"/>
    </xf>
    <xf numFmtId="0" fontId="8" fillId="4" borderId="90" xfId="33" applyFont="1" applyFill="1" applyBorder="1" applyAlignment="1" applyProtection="1">
      <alignment horizontal="left" vertical="center" wrapText="1"/>
      <protection locked="0"/>
    </xf>
    <xf numFmtId="0" fontId="23" fillId="0" borderId="90" xfId="34" applyFont="1" applyBorder="1" applyAlignment="1" applyProtection="1">
      <alignment horizontal="center" vertical="center"/>
      <protection locked="0"/>
    </xf>
    <xf numFmtId="0" fontId="23" fillId="7" borderId="90" xfId="34" applyFont="1" applyFill="1" applyBorder="1" applyAlignment="1" applyProtection="1">
      <alignment horizontal="center" vertical="center"/>
      <protection locked="0"/>
    </xf>
    <xf numFmtId="2" fontId="24" fillId="0" borderId="90" xfId="0" applyNumberFormat="1" applyFont="1" applyBorder="1" applyAlignment="1">
      <alignment horizontal="center" vertical="center"/>
    </xf>
    <xf numFmtId="2" fontId="25" fillId="7" borderId="90" xfId="36" applyNumberFormat="1" applyFont="1" applyFill="1" applyBorder="1" applyAlignment="1">
      <alignment horizontal="center" vertical="center"/>
    </xf>
    <xf numFmtId="2" fontId="25" fillId="0" borderId="90" xfId="36" applyNumberFormat="1" applyFont="1" applyBorder="1" applyAlignment="1">
      <alignment horizontal="center" vertical="center"/>
    </xf>
    <xf numFmtId="2" fontId="24" fillId="0" borderId="90" xfId="36" applyNumberFormat="1" applyFont="1" applyBorder="1" applyAlignment="1">
      <alignment horizontal="center" vertical="center"/>
    </xf>
    <xf numFmtId="2" fontId="25" fillId="0" borderId="91" xfId="36" applyNumberFormat="1" applyFont="1" applyBorder="1" applyAlignment="1">
      <alignment horizontal="center" vertical="center"/>
    </xf>
    <xf numFmtId="2" fontId="25" fillId="7" borderId="80" xfId="41" applyNumberFormat="1" applyFont="1" applyFill="1" applyBorder="1" applyAlignment="1">
      <alignment horizontal="center" vertical="center"/>
    </xf>
    <xf numFmtId="2" fontId="25" fillId="7" borderId="80" xfId="36" applyNumberFormat="1" applyFont="1" applyFill="1" applyBorder="1" applyAlignment="1">
      <alignment horizontal="center" vertical="center"/>
    </xf>
    <xf numFmtId="2" fontId="25" fillId="7" borderId="92" xfId="36" applyNumberFormat="1" applyFont="1" applyFill="1" applyBorder="1" applyAlignment="1">
      <alignment horizontal="center" vertical="center"/>
    </xf>
    <xf numFmtId="0" fontId="26" fillId="7" borderId="79" xfId="36" applyFont="1" applyFill="1" applyBorder="1"/>
    <xf numFmtId="0" fontId="26" fillId="7" borderId="80" xfId="36" applyFont="1" applyFill="1" applyBorder="1"/>
    <xf numFmtId="49" fontId="62" fillId="7" borderId="80" xfId="0" applyNumberFormat="1" applyFont="1" applyFill="1" applyBorder="1" applyAlignment="1">
      <alignment vertical="center" wrapText="1"/>
    </xf>
    <xf numFmtId="49" fontId="62" fillId="7" borderId="80" xfId="0" applyNumberFormat="1" applyFont="1" applyFill="1" applyBorder="1" applyAlignment="1">
      <alignment vertical="center"/>
    </xf>
    <xf numFmtId="0" fontId="63" fillId="7" borderId="79" xfId="0" applyNumberFormat="1" applyFont="1" applyFill="1" applyBorder="1" applyAlignment="1">
      <alignment horizontal="center" vertical="center"/>
    </xf>
    <xf numFmtId="0" fontId="63" fillId="7" borderId="80" xfId="0" applyNumberFormat="1" applyFont="1" applyFill="1" applyBorder="1" applyAlignment="1">
      <alignment horizontal="center" vertical="center"/>
    </xf>
    <xf numFmtId="0" fontId="63" fillId="7" borderId="80" xfId="0" applyFont="1" applyFill="1" applyBorder="1" applyAlignment="1">
      <alignment horizontal="left" vertical="center" wrapText="1"/>
    </xf>
    <xf numFmtId="0" fontId="63" fillId="7" borderId="80" xfId="0" applyFont="1" applyFill="1" applyBorder="1" applyAlignment="1">
      <alignment horizontal="center" vertical="center" wrapText="1"/>
    </xf>
    <xf numFmtId="2" fontId="6" fillId="0" borderId="80" xfId="47" applyNumberFormat="1" applyFont="1" applyFill="1" applyBorder="1" applyAlignment="1">
      <alignment horizontal="center" vertical="center"/>
    </xf>
    <xf numFmtId="4" fontId="0" fillId="0" borderId="80" xfId="0" applyNumberFormat="1" applyFont="1" applyFill="1" applyBorder="1" applyAlignment="1" applyProtection="1">
      <alignment horizontal="center" vertical="center" shrinkToFit="1"/>
      <protection locked="0"/>
    </xf>
    <xf numFmtId="2" fontId="23" fillId="0" borderId="80" xfId="0" applyNumberFormat="1" applyFont="1" applyBorder="1" applyAlignment="1">
      <alignment horizontal="center" vertical="center"/>
    </xf>
    <xf numFmtId="2" fontId="6" fillId="0" borderId="80" xfId="0" applyNumberFormat="1" applyFont="1" applyFill="1" applyBorder="1" applyAlignment="1">
      <alignment horizontal="center" vertical="center"/>
    </xf>
    <xf numFmtId="2" fontId="25" fillId="7" borderId="80" xfId="0" applyNumberFormat="1" applyFont="1" applyFill="1" applyBorder="1" applyAlignment="1">
      <alignment horizontal="center" vertical="center"/>
    </xf>
    <xf numFmtId="2" fontId="25" fillId="7" borderId="92" xfId="0" applyNumberFormat="1" applyFont="1" applyFill="1" applyBorder="1" applyAlignment="1">
      <alignment horizontal="center" vertical="center"/>
    </xf>
    <xf numFmtId="0" fontId="6" fillId="0" borderId="80" xfId="0" applyFont="1" applyBorder="1" applyAlignment="1">
      <alignment horizontal="left" vertical="center" wrapText="1"/>
    </xf>
    <xf numFmtId="0" fontId="6" fillId="0" borderId="80" xfId="0" applyFont="1" applyBorder="1" applyAlignment="1">
      <alignment horizontal="center" vertical="center" wrapText="1"/>
    </xf>
    <xf numFmtId="2" fontId="6" fillId="0" borderId="80" xfId="0" applyNumberFormat="1" applyFont="1" applyBorder="1" applyAlignment="1">
      <alignment horizontal="center" vertical="center"/>
    </xf>
    <xf numFmtId="2" fontId="6" fillId="0" borderId="80" xfId="47" applyNumberFormat="1" applyFont="1" applyBorder="1" applyAlignment="1">
      <alignment horizontal="center" vertical="center"/>
    </xf>
    <xf numFmtId="0" fontId="63" fillId="7" borderId="79" xfId="0" applyFont="1" applyFill="1" applyBorder="1" applyAlignment="1">
      <alignment horizontal="center"/>
    </xf>
    <xf numFmtId="0" fontId="63" fillId="7" borderId="80" xfId="0" applyFont="1" applyFill="1" applyBorder="1" applyAlignment="1">
      <alignment horizontal="center"/>
    </xf>
    <xf numFmtId="0" fontId="63" fillId="7" borderId="80" xfId="0" applyFont="1" applyFill="1" applyBorder="1" applyAlignment="1">
      <alignment horizontal="left" vertical="top" wrapText="1"/>
    </xf>
    <xf numFmtId="0" fontId="63" fillId="7" borderId="80" xfId="0" applyNumberFormat="1" applyFont="1" applyFill="1" applyBorder="1" applyAlignment="1">
      <alignment horizontal="center" vertical="center" wrapText="1"/>
    </xf>
    <xf numFmtId="0" fontId="63" fillId="7" borderId="80" xfId="0" applyNumberFormat="1" applyFont="1" applyFill="1" applyBorder="1" applyAlignment="1">
      <alignment horizontal="left" vertical="center" wrapText="1"/>
    </xf>
    <xf numFmtId="49" fontId="63" fillId="7" borderId="80" xfId="0" applyNumberFormat="1" applyFont="1" applyFill="1" applyBorder="1" applyAlignment="1">
      <alignment horizontal="left" vertical="top" wrapText="1"/>
    </xf>
    <xf numFmtId="49" fontId="63" fillId="7" borderId="80" xfId="34" applyNumberFormat="1" applyFont="1" applyFill="1" applyBorder="1" applyAlignment="1">
      <alignment horizontal="left" vertical="center" wrapText="1"/>
    </xf>
    <xf numFmtId="49" fontId="63" fillId="7" borderId="80" xfId="34" applyNumberFormat="1" applyFont="1" applyFill="1" applyBorder="1" applyAlignment="1">
      <alignment horizontal="center" vertical="center"/>
    </xf>
    <xf numFmtId="49" fontId="0" fillId="0" borderId="80" xfId="69" applyNumberFormat="1" applyFont="1" applyBorder="1" applyAlignment="1">
      <alignment horizontal="left" vertical="center" wrapText="1"/>
    </xf>
    <xf numFmtId="49" fontId="6" fillId="0" borderId="80" xfId="69" applyNumberFormat="1" applyFont="1" applyBorder="1" applyAlignment="1">
      <alignment horizontal="center" vertical="center"/>
    </xf>
    <xf numFmtId="49" fontId="6" fillId="0" borderId="80" xfId="69" applyNumberFormat="1" applyFont="1" applyBorder="1" applyAlignment="1">
      <alignment horizontal="left" vertical="center"/>
    </xf>
    <xf numFmtId="0" fontId="63" fillId="7" borderId="80" xfId="0" applyNumberFormat="1" applyFont="1" applyFill="1" applyBorder="1" applyAlignment="1">
      <alignment horizontal="center"/>
    </xf>
    <xf numFmtId="49" fontId="64" fillId="7" borderId="80" xfId="0" applyNumberFormat="1" applyFont="1" applyFill="1" applyBorder="1" applyAlignment="1">
      <alignment horizontal="left" vertical="top" wrapText="1"/>
    </xf>
    <xf numFmtId="0" fontId="63" fillId="7" borderId="80" xfId="0" applyFont="1" applyFill="1" applyBorder="1" applyAlignment="1">
      <alignment wrapText="1"/>
    </xf>
    <xf numFmtId="2" fontId="25" fillId="0" borderId="80" xfId="0" applyNumberFormat="1" applyFont="1" applyFill="1" applyBorder="1" applyAlignment="1">
      <alignment horizontal="center" vertical="center"/>
    </xf>
    <xf numFmtId="4" fontId="25" fillId="0" borderId="80" xfId="0" applyNumberFormat="1" applyFont="1" applyFill="1" applyBorder="1" applyAlignment="1" applyProtection="1">
      <alignment horizontal="center" vertical="center" shrinkToFit="1"/>
      <protection locked="0"/>
    </xf>
    <xf numFmtId="2" fontId="25" fillId="0" borderId="80" xfId="0" applyNumberFormat="1" applyFont="1" applyBorder="1" applyAlignment="1">
      <alignment horizontal="center" vertical="center"/>
    </xf>
    <xf numFmtId="2" fontId="25" fillId="0" borderId="80" xfId="47" applyNumberFormat="1" applyFont="1" applyBorder="1" applyAlignment="1">
      <alignment horizontal="center" vertical="center"/>
    </xf>
    <xf numFmtId="0" fontId="25" fillId="0" borderId="93" xfId="36" applyFont="1" applyBorder="1" applyAlignment="1">
      <alignment horizontal="center" vertical="center"/>
    </xf>
    <xf numFmtId="0" fontId="25" fillId="0" borderId="94" xfId="36" applyFont="1" applyBorder="1" applyAlignment="1">
      <alignment horizontal="center" vertical="center"/>
    </xf>
    <xf numFmtId="0" fontId="25" fillId="0" borderId="94" xfId="36" applyFont="1" applyBorder="1" applyAlignment="1">
      <alignment vertical="center" wrapText="1"/>
    </xf>
    <xf numFmtId="0" fontId="25" fillId="0" borderId="94" xfId="36" applyFont="1" applyBorder="1" applyAlignment="1">
      <alignment horizontal="center" vertical="center" wrapText="1"/>
    </xf>
    <xf numFmtId="2" fontId="25" fillId="0" borderId="94" xfId="36" applyNumberFormat="1" applyFont="1" applyBorder="1" applyAlignment="1">
      <alignment horizontal="center" vertical="center"/>
    </xf>
    <xf numFmtId="2" fontId="25" fillId="7" borderId="94" xfId="36" applyNumberFormat="1" applyFont="1" applyFill="1" applyBorder="1" applyAlignment="1">
      <alignment horizontal="center" vertical="center"/>
    </xf>
    <xf numFmtId="2" fontId="25" fillId="0" borderId="95" xfId="36" applyNumberFormat="1" applyFont="1" applyBorder="1" applyAlignment="1">
      <alignment horizontal="center" vertical="center"/>
    </xf>
    <xf numFmtId="0" fontId="63" fillId="7" borderId="79" xfId="0" applyFont="1" applyFill="1" applyBorder="1" applyAlignment="1">
      <alignment horizontal="center" vertical="center"/>
    </xf>
    <xf numFmtId="0" fontId="63" fillId="14" borderId="5" xfId="0" applyFont="1" applyFill="1" applyBorder="1" applyAlignment="1">
      <alignment horizontal="left" vertical="center" wrapText="1"/>
    </xf>
    <xf numFmtId="0" fontId="25" fillId="14" borderId="9" xfId="0" applyFont="1" applyFill="1" applyBorder="1" applyAlignment="1">
      <alignment horizontal="left" vertical="center" wrapText="1"/>
    </xf>
    <xf numFmtId="0" fontId="25" fillId="14" borderId="9" xfId="0" applyFont="1" applyFill="1" applyBorder="1" applyAlignment="1">
      <alignment horizontal="center" vertical="center" wrapText="1"/>
    </xf>
    <xf numFmtId="0" fontId="25" fillId="14" borderId="9" xfId="0" applyNumberFormat="1" applyFont="1" applyFill="1" applyBorder="1" applyAlignment="1">
      <alignment horizontal="center" vertical="center" wrapText="1"/>
    </xf>
    <xf numFmtId="0" fontId="25" fillId="14" borderId="9" xfId="0" applyFont="1" applyFill="1" applyBorder="1"/>
    <xf numFmtId="0" fontId="9" fillId="2" borderId="1" xfId="27" applyFont="1" applyFill="1" applyBorder="1" applyAlignment="1">
      <alignment horizontal="center"/>
    </xf>
    <xf numFmtId="0" fontId="9" fillId="2" borderId="2" xfId="27" applyFont="1" applyFill="1" applyBorder="1" applyAlignment="1">
      <alignment horizontal="center"/>
    </xf>
    <xf numFmtId="0" fontId="9" fillId="2" borderId="3" xfId="27" applyFont="1" applyFill="1" applyBorder="1" applyAlignment="1">
      <alignment horizontal="center"/>
    </xf>
    <xf numFmtId="0" fontId="20" fillId="0" borderId="0" xfId="27" applyFont="1" applyAlignment="1">
      <alignment horizontal="left" vertical="center" wrapText="1"/>
    </xf>
    <xf numFmtId="0" fontId="7" fillId="0" borderId="4" xfId="40" applyFont="1" applyBorder="1" applyAlignment="1">
      <alignment horizontal="center" vertical="top" wrapText="1"/>
    </xf>
    <xf numFmtId="0" fontId="7" fillId="0" borderId="6" xfId="40" applyFont="1" applyBorder="1" applyAlignment="1">
      <alignment horizontal="center" vertical="top" wrapText="1"/>
    </xf>
    <xf numFmtId="0" fontId="7" fillId="0" borderId="5" xfId="40" applyFont="1" applyBorder="1" applyAlignment="1">
      <alignment horizontal="center" vertical="top" wrapText="1"/>
    </xf>
    <xf numFmtId="0" fontId="33" fillId="7" borderId="0" xfId="0" applyFont="1" applyFill="1" applyAlignment="1">
      <alignment horizontal="left" vertical="top" wrapText="1"/>
    </xf>
    <xf numFmtId="0" fontId="12" fillId="5" borderId="1" xfId="20" applyFont="1" applyFill="1" applyBorder="1" applyAlignment="1">
      <alignment horizontal="center"/>
    </xf>
    <xf numFmtId="0" fontId="12" fillId="5" borderId="2" xfId="20" applyFont="1" applyFill="1" applyBorder="1" applyAlignment="1">
      <alignment horizontal="center"/>
    </xf>
    <xf numFmtId="0" fontId="12" fillId="5" borderId="3" xfId="20" applyFont="1" applyFill="1" applyBorder="1" applyAlignment="1">
      <alignment horizontal="center"/>
    </xf>
    <xf numFmtId="0" fontId="7" fillId="0" borderId="0" xfId="20" applyFont="1" applyAlignment="1">
      <alignment horizontal="right" vertical="top" wrapText="1"/>
    </xf>
    <xf numFmtId="0" fontId="8" fillId="0" borderId="5" xfId="20" applyFont="1" applyBorder="1" applyAlignment="1">
      <alignment horizontal="center" vertical="center" wrapText="1"/>
    </xf>
    <xf numFmtId="0" fontId="8" fillId="0" borderId="25" xfId="20" applyFont="1" applyBorder="1" applyAlignment="1">
      <alignment horizontal="center" vertical="center" wrapText="1"/>
    </xf>
    <xf numFmtId="0" fontId="8" fillId="0" borderId="26" xfId="20" applyFont="1" applyBorder="1" applyAlignment="1">
      <alignment horizontal="center" vertical="center" wrapText="1"/>
    </xf>
    <xf numFmtId="0" fontId="8" fillId="0" borderId="27" xfId="20" applyFont="1" applyBorder="1" applyAlignment="1">
      <alignment horizontal="center" vertical="center" wrapText="1"/>
    </xf>
    <xf numFmtId="0" fontId="8" fillId="0" borderId="28" xfId="20" applyFont="1" applyBorder="1" applyAlignment="1">
      <alignment horizontal="center" vertical="center" wrapText="1"/>
    </xf>
    <xf numFmtId="0" fontId="12" fillId="0" borderId="0" xfId="0" applyFont="1" applyFill="1" applyBorder="1" applyAlignment="1">
      <alignment horizontal="center"/>
    </xf>
    <xf numFmtId="0" fontId="8" fillId="0" borderId="0" xfId="20" applyFont="1" applyAlignment="1">
      <alignment horizontal="center" vertical="top" wrapText="1"/>
    </xf>
    <xf numFmtId="0" fontId="8" fillId="0" borderId="8" xfId="20" applyFont="1" applyBorder="1" applyAlignment="1">
      <alignment horizontal="center" vertical="top" wrapText="1"/>
    </xf>
    <xf numFmtId="0" fontId="7" fillId="0" borderId="0" xfId="20" applyFont="1" applyAlignment="1">
      <alignment horizontal="right" vertical="center" wrapText="1"/>
    </xf>
    <xf numFmtId="0" fontId="22" fillId="0" borderId="36" xfId="20" applyFont="1" applyBorder="1" applyAlignment="1">
      <alignment horizontal="center" vertical="top" wrapText="1"/>
    </xf>
    <xf numFmtId="0" fontId="22" fillId="0" borderId="37" xfId="20" applyFont="1" applyBorder="1" applyAlignment="1">
      <alignment horizontal="center" vertical="top" wrapText="1"/>
    </xf>
    <xf numFmtId="0" fontId="22" fillId="0" borderId="41" xfId="0" applyFont="1" applyBorder="1" applyAlignment="1">
      <alignment horizontal="left" vertical="center" wrapText="1"/>
    </xf>
    <xf numFmtId="0" fontId="22" fillId="0" borderId="42" xfId="0" applyFont="1" applyBorder="1" applyAlignment="1">
      <alignment horizontal="left" vertical="center" wrapText="1"/>
    </xf>
    <xf numFmtId="0" fontId="21" fillId="0" borderId="5" xfId="20" applyFont="1" applyBorder="1" applyAlignment="1">
      <alignment horizontal="justify" vertical="top" wrapText="1"/>
    </xf>
    <xf numFmtId="0" fontId="7" fillId="0" borderId="0" xfId="20" applyFont="1" applyAlignment="1">
      <alignment horizontal="left" vertical="top" wrapText="1"/>
    </xf>
    <xf numFmtId="0" fontId="8" fillId="0" borderId="5" xfId="20" applyFont="1" applyBorder="1" applyAlignment="1">
      <alignment horizontal="right" vertical="center" wrapText="1"/>
    </xf>
    <xf numFmtId="0" fontId="21" fillId="0" borderId="31" xfId="20" applyFont="1" applyBorder="1" applyAlignment="1">
      <alignment horizontal="center" vertical="top" wrapText="1"/>
    </xf>
    <xf numFmtId="0" fontId="21" fillId="0" borderId="32" xfId="20" applyFont="1" applyBorder="1" applyAlignment="1">
      <alignment horizontal="center" vertical="top" wrapText="1"/>
    </xf>
    <xf numFmtId="0" fontId="27" fillId="0" borderId="0" xfId="36" applyFont="1" applyAlignment="1">
      <alignment horizontal="center" vertical="center"/>
    </xf>
    <xf numFmtId="0" fontId="25" fillId="0" borderId="0" xfId="36" applyFont="1" applyAlignment="1">
      <alignment horizontal="left" vertical="center" wrapText="1"/>
    </xf>
    <xf numFmtId="0" fontId="27" fillId="0" borderId="0" xfId="36" applyFont="1" applyAlignment="1">
      <alignment horizontal="left" vertical="center"/>
    </xf>
    <xf numFmtId="0" fontId="10" fillId="0" borderId="0" xfId="0" applyFont="1" applyBorder="1" applyAlignment="1">
      <alignment horizontal="center" vertical="top" wrapText="1"/>
    </xf>
    <xf numFmtId="0" fontId="10" fillId="0" borderId="0" xfId="0" applyFont="1" applyAlignment="1">
      <alignment horizontal="center"/>
    </xf>
    <xf numFmtId="0" fontId="26" fillId="0" borderId="5" xfId="36" applyFont="1" applyBorder="1" applyAlignment="1">
      <alignment horizontal="center" vertical="center"/>
    </xf>
    <xf numFmtId="0" fontId="0" fillId="0" borderId="0" xfId="0" applyFont="1" applyBorder="1" applyAlignment="1">
      <alignment horizontal="left" vertical="center" wrapText="1"/>
    </xf>
    <xf numFmtId="0" fontId="0" fillId="0" borderId="0" xfId="0" applyFont="1" applyFill="1" applyAlignment="1">
      <alignment horizontal="left" vertical="center" wrapText="1"/>
    </xf>
    <xf numFmtId="0" fontId="25" fillId="0" borderId="5" xfId="36" applyFont="1" applyBorder="1" applyAlignment="1">
      <alignment horizontal="center" vertical="center" textRotation="90"/>
    </xf>
    <xf numFmtId="0" fontId="25" fillId="7" borderId="4" xfId="36" applyFont="1" applyFill="1" applyBorder="1" applyAlignment="1">
      <alignment horizontal="center" vertical="center" textRotation="90"/>
    </xf>
    <xf numFmtId="0" fontId="25" fillId="7" borderId="6" xfId="36" applyFont="1" applyFill="1" applyBorder="1" applyAlignment="1">
      <alignment horizontal="center" vertical="center" textRotation="90"/>
    </xf>
    <xf numFmtId="0" fontId="26" fillId="0" borderId="5" xfId="36" applyFont="1" applyBorder="1" applyAlignment="1">
      <alignment horizontal="center" vertical="center" wrapText="1"/>
    </xf>
    <xf numFmtId="0" fontId="25" fillId="0" borderId="5" xfId="36" applyFont="1" applyBorder="1" applyAlignment="1">
      <alignment horizontal="center" vertical="center" textRotation="90" wrapText="1"/>
    </xf>
    <xf numFmtId="0" fontId="11" fillId="0" borderId="20" xfId="36" applyFont="1" applyFill="1" applyBorder="1" applyAlignment="1">
      <alignment horizontal="right" vertical="center" wrapText="1"/>
    </xf>
    <xf numFmtId="0" fontId="11" fillId="0" borderId="21" xfId="36" applyFont="1" applyFill="1" applyBorder="1" applyAlignment="1">
      <alignment horizontal="right" vertical="center" wrapText="1"/>
    </xf>
    <xf numFmtId="0" fontId="25" fillId="0" borderId="4" xfId="36" applyFont="1" applyBorder="1" applyAlignment="1">
      <alignment horizontal="center" vertical="center" textRotation="90"/>
    </xf>
    <xf numFmtId="0" fontId="25" fillId="0" borderId="6" xfId="36" applyFont="1" applyBorder="1" applyAlignment="1">
      <alignment horizontal="center" vertical="center" textRotation="90"/>
    </xf>
    <xf numFmtId="0" fontId="22" fillId="0" borderId="82" xfId="0" applyFont="1" applyBorder="1" applyAlignment="1">
      <alignment horizontal="left" vertical="center" wrapText="1"/>
    </xf>
    <xf numFmtId="0" fontId="22" fillId="0" borderId="83" xfId="0" applyFont="1" applyBorder="1" applyAlignment="1">
      <alignment horizontal="left" vertical="center" wrapText="1"/>
    </xf>
    <xf numFmtId="0" fontId="25" fillId="7" borderId="51" xfId="36" applyFont="1" applyFill="1" applyBorder="1" applyAlignment="1">
      <alignment horizontal="center" vertical="center" textRotation="90"/>
    </xf>
    <xf numFmtId="0" fontId="25" fillId="0" borderId="4" xfId="36" applyFont="1" applyBorder="1" applyAlignment="1">
      <alignment horizontal="center" vertical="center" textRotation="90" wrapText="1"/>
    </xf>
    <xf numFmtId="0" fontId="26" fillId="0" borderId="25" xfId="36" applyFont="1" applyBorder="1" applyAlignment="1">
      <alignment horizontal="center" vertical="center" wrapText="1"/>
    </xf>
    <xf numFmtId="0" fontId="26" fillId="0" borderId="26" xfId="36" applyFont="1" applyBorder="1" applyAlignment="1">
      <alignment horizontal="center" vertical="center" wrapText="1"/>
    </xf>
    <xf numFmtId="0" fontId="26" fillId="0" borderId="57" xfId="36" applyFont="1" applyBorder="1" applyAlignment="1">
      <alignment horizontal="center" vertical="center" wrapText="1"/>
    </xf>
    <xf numFmtId="0" fontId="26" fillId="0" borderId="58" xfId="36" applyFont="1" applyBorder="1" applyAlignment="1">
      <alignment horizontal="center" vertical="center" wrapText="1"/>
    </xf>
    <xf numFmtId="0" fontId="8" fillId="4" borderId="73" xfId="33" applyFont="1" applyFill="1" applyBorder="1" applyAlignment="1" applyProtection="1">
      <alignment horizontal="left" vertical="center" wrapText="1"/>
      <protection locked="0"/>
    </xf>
    <xf numFmtId="0" fontId="8" fillId="4" borderId="74" xfId="33" applyFont="1" applyFill="1" applyBorder="1" applyAlignment="1" applyProtection="1">
      <alignment horizontal="left" vertical="center" wrapText="1"/>
      <protection locked="0"/>
    </xf>
    <xf numFmtId="0" fontId="25" fillId="0" borderId="51" xfId="36" applyFont="1" applyBorder="1" applyAlignment="1">
      <alignment horizontal="center" vertical="center" textRotation="90"/>
    </xf>
    <xf numFmtId="0" fontId="26" fillId="0" borderId="27" xfId="36" applyFont="1" applyBorder="1" applyAlignment="1">
      <alignment horizontal="center" vertical="center" wrapText="1"/>
    </xf>
    <xf numFmtId="0" fontId="26" fillId="0" borderId="28" xfId="36" applyFont="1" applyBorder="1" applyAlignment="1">
      <alignment horizontal="center" vertical="center" wrapText="1"/>
    </xf>
    <xf numFmtId="0" fontId="8" fillId="4" borderId="31" xfId="33" applyFont="1" applyFill="1" applyBorder="1" applyAlignment="1" applyProtection="1">
      <alignment horizontal="left" vertical="center" wrapText="1"/>
      <protection locked="0"/>
    </xf>
    <xf numFmtId="0" fontId="8" fillId="4" borderId="32" xfId="33" applyFont="1" applyFill="1" applyBorder="1" applyAlignment="1" applyProtection="1">
      <alignment horizontal="left" vertical="center" wrapText="1"/>
      <protection locked="0"/>
    </xf>
    <xf numFmtId="0" fontId="11" fillId="0" borderId="52" xfId="36" applyFont="1" applyFill="1" applyBorder="1" applyAlignment="1">
      <alignment horizontal="right" vertical="center" wrapText="1"/>
    </xf>
    <xf numFmtId="0" fontId="11" fillId="0" borderId="53" xfId="36" applyFont="1" applyFill="1" applyBorder="1" applyAlignment="1">
      <alignment horizontal="right" vertical="center" wrapText="1"/>
    </xf>
    <xf numFmtId="0" fontId="8" fillId="4" borderId="30" xfId="33" applyFont="1" applyFill="1" applyBorder="1" applyAlignment="1" applyProtection="1">
      <alignment horizontal="left" vertical="center" wrapText="1"/>
      <protection locked="0"/>
    </xf>
    <xf numFmtId="0" fontId="11" fillId="0" borderId="5" xfId="36" applyFont="1" applyFill="1" applyBorder="1" applyAlignment="1">
      <alignment horizontal="right" vertical="center" wrapText="1"/>
    </xf>
    <xf numFmtId="0" fontId="8" fillId="4" borderId="72" xfId="33" applyFont="1" applyFill="1" applyBorder="1" applyAlignment="1" applyProtection="1">
      <alignment horizontal="left" vertical="center" wrapText="1"/>
      <protection locked="0"/>
    </xf>
    <xf numFmtId="2" fontId="0" fillId="7" borderId="9" xfId="19" applyNumberFormat="1" applyFont="1" applyFill="1" applyBorder="1" applyAlignment="1">
      <alignment horizontal="center" vertical="center" wrapText="1"/>
    </xf>
    <xf numFmtId="2" fontId="25" fillId="7" borderId="40" xfId="19" applyNumberFormat="1" applyFont="1" applyFill="1" applyBorder="1" applyAlignment="1">
      <alignment horizontal="center" vertical="center" wrapText="1"/>
    </xf>
    <xf numFmtId="2" fontId="25" fillId="0" borderId="40" xfId="0" applyNumberFormat="1" applyFont="1" applyFill="1" applyBorder="1" applyAlignment="1">
      <alignment horizontal="center" vertical="center" wrapText="1"/>
    </xf>
    <xf numFmtId="2" fontId="25" fillId="0" borderId="40" xfId="0" applyNumberFormat="1" applyFont="1" applyFill="1" applyBorder="1" applyAlignment="1">
      <alignment horizontal="center" vertical="center"/>
    </xf>
    <xf numFmtId="2" fontId="25" fillId="0" borderId="40" xfId="47" applyNumberFormat="1" applyFont="1" applyFill="1" applyBorder="1" applyAlignment="1">
      <alignment horizontal="center" vertical="center"/>
    </xf>
    <xf numFmtId="0" fontId="25" fillId="14" borderId="34" xfId="41" applyFont="1" applyFill="1" applyBorder="1" applyAlignment="1">
      <alignment horizontal="center" vertical="center"/>
    </xf>
    <xf numFmtId="0" fontId="29" fillId="14" borderId="9" xfId="0" applyFont="1" applyFill="1" applyBorder="1" applyAlignment="1">
      <alignment horizontal="left" vertical="center" wrapText="1"/>
    </xf>
    <xf numFmtId="0" fontId="25" fillId="14" borderId="9" xfId="34" applyFont="1" applyFill="1" applyBorder="1" applyAlignment="1" applyProtection="1">
      <alignment horizontal="center" vertical="center"/>
      <protection locked="0"/>
    </xf>
    <xf numFmtId="3" fontId="25" fillId="14" borderId="34" xfId="0" applyNumberFormat="1" applyFont="1" applyFill="1" applyBorder="1" applyAlignment="1">
      <alignment horizontal="center" vertical="center" wrapText="1"/>
    </xf>
    <xf numFmtId="0" fontId="25" fillId="14" borderId="9" xfId="34" applyFont="1" applyFill="1" applyBorder="1" applyAlignment="1">
      <alignment horizontal="center" vertical="center" wrapText="1"/>
    </xf>
    <xf numFmtId="0" fontId="41" fillId="14" borderId="9" xfId="0" applyFont="1" applyFill="1" applyBorder="1" applyAlignment="1">
      <alignment horizontal="center" vertical="center" wrapText="1"/>
    </xf>
    <xf numFmtId="0" fontId="63" fillId="14" borderId="0" xfId="0" applyFont="1" applyFill="1" applyBorder="1" applyAlignment="1">
      <alignment horizontal="left" vertical="center" wrapText="1"/>
    </xf>
    <xf numFmtId="0" fontId="29" fillId="14" borderId="9" xfId="0" applyNumberFormat="1" applyFont="1" applyFill="1" applyBorder="1" applyAlignment="1">
      <alignment horizontal="left" vertical="center" wrapText="1"/>
    </xf>
    <xf numFmtId="0" fontId="25" fillId="14" borderId="9" xfId="0" applyNumberFormat="1" applyFont="1" applyFill="1" applyBorder="1" applyAlignment="1">
      <alignment horizontal="left" vertical="center" wrapText="1"/>
    </xf>
    <xf numFmtId="0" fontId="25" fillId="14" borderId="9" xfId="63" applyFont="1" applyFill="1" applyBorder="1" applyAlignment="1">
      <alignment wrapText="1"/>
    </xf>
    <xf numFmtId="0" fontId="25" fillId="14" borderId="9" xfId="63" applyFont="1" applyFill="1" applyBorder="1" applyAlignment="1">
      <alignment horizontal="center" vertical="center"/>
    </xf>
    <xf numFmtId="0" fontId="25" fillId="14" borderId="9" xfId="63" applyFont="1" applyFill="1" applyBorder="1" applyAlignment="1">
      <alignment horizontal="center" vertical="center" wrapText="1"/>
    </xf>
    <xf numFmtId="0" fontId="29" fillId="14" borderId="9" xfId="63" applyFont="1" applyFill="1" applyBorder="1"/>
    <xf numFmtId="0" fontId="25" fillId="14" borderId="9" xfId="63" applyFont="1" applyFill="1" applyBorder="1"/>
    <xf numFmtId="164" fontId="25" fillId="14" borderId="9" xfId="63" applyNumberFormat="1" applyFont="1" applyFill="1" applyBorder="1" applyAlignment="1">
      <alignment horizontal="center" vertical="center"/>
    </xf>
    <xf numFmtId="0" fontId="25" fillId="14" borderId="9" xfId="0" applyFont="1" applyFill="1" applyBorder="1" applyAlignment="1">
      <alignment wrapText="1"/>
    </xf>
    <xf numFmtId="0" fontId="25" fillId="14" borderId="9" xfId="0" applyNumberFormat="1" applyFont="1" applyFill="1" applyBorder="1" applyAlignment="1">
      <alignment horizontal="center" vertical="center"/>
    </xf>
    <xf numFmtId="49" fontId="25" fillId="14" borderId="9" xfId="0" applyNumberFormat="1" applyFont="1" applyFill="1" applyBorder="1" applyAlignment="1">
      <alignment horizontal="left" vertical="top"/>
    </xf>
    <xf numFmtId="0" fontId="55" fillId="14" borderId="9" xfId="0" applyFont="1" applyFill="1" applyBorder="1" applyAlignment="1">
      <alignment horizontal="center" vertical="center" wrapText="1"/>
    </xf>
    <xf numFmtId="0" fontId="25" fillId="14" borderId="9" xfId="0" applyFont="1" applyFill="1" applyBorder="1" applyAlignment="1">
      <alignment horizontal="center"/>
    </xf>
    <xf numFmtId="2" fontId="6" fillId="0" borderId="40" xfId="47" applyNumberFormat="1" applyFont="1" applyFill="1" applyBorder="1" applyAlignment="1">
      <alignment horizontal="center" vertical="center"/>
    </xf>
    <xf numFmtId="2" fontId="6" fillId="0" borderId="40" xfId="0" applyNumberFormat="1" applyFont="1" applyBorder="1" applyAlignment="1">
      <alignment horizontal="center" vertical="center" wrapText="1"/>
    </xf>
    <xf numFmtId="2" fontId="6" fillId="0" borderId="40" xfId="0" applyNumberFormat="1" applyFont="1" applyBorder="1" applyAlignment="1">
      <alignment horizontal="center" vertical="center"/>
    </xf>
    <xf numFmtId="2" fontId="6" fillId="7" borderId="40" xfId="41" applyNumberFormat="1" applyFont="1" applyFill="1" applyBorder="1" applyAlignment="1">
      <alignment horizontal="center" vertical="center"/>
    </xf>
    <xf numFmtId="2" fontId="6" fillId="0" borderId="40" xfId="47" applyNumberFormat="1" applyFont="1" applyBorder="1" applyAlignment="1">
      <alignment horizontal="center" vertical="center"/>
    </xf>
    <xf numFmtId="0" fontId="10" fillId="14" borderId="5" xfId="0" applyFont="1" applyFill="1" applyBorder="1" applyAlignment="1">
      <alignment horizontal="left"/>
    </xf>
    <xf numFmtId="0" fontId="10" fillId="14" borderId="5" xfId="0" applyFont="1" applyFill="1" applyBorder="1" applyAlignment="1">
      <alignment horizontal="center" vertical="center" wrapText="1"/>
    </xf>
    <xf numFmtId="0" fontId="6" fillId="14" borderId="9" xfId="0" applyFont="1" applyFill="1" applyBorder="1" applyAlignment="1">
      <alignment horizontal="center" vertical="center" wrapText="1"/>
    </xf>
    <xf numFmtId="0" fontId="10" fillId="14" borderId="5" xfId="0" applyFont="1" applyFill="1" applyBorder="1" applyAlignment="1">
      <alignment horizontal="center"/>
    </xf>
    <xf numFmtId="0" fontId="6" fillId="14" borderId="9" xfId="0" applyFont="1" applyFill="1" applyBorder="1" applyAlignment="1">
      <alignment horizontal="center" vertical="center"/>
    </xf>
    <xf numFmtId="0" fontId="6" fillId="14" borderId="9" xfId="0" applyFont="1" applyFill="1" applyBorder="1" applyAlignment="1">
      <alignment horizontal="center" vertical="top"/>
    </xf>
  </cellXfs>
  <cellStyles count="71">
    <cellStyle name="Bad" xfId="65" builtinId="27"/>
    <cellStyle name="Comma 2" xfId="2"/>
    <cellStyle name="Comma 2 2" xfId="3"/>
    <cellStyle name="Comma 2 3" xfId="4"/>
    <cellStyle name="Comma 2 3 2" xfId="5"/>
    <cellStyle name="Comma 3" xfId="6"/>
    <cellStyle name="Comma 4" xfId="7"/>
    <cellStyle name="Comma 5" xfId="37"/>
    <cellStyle name="Comma 5 2" xfId="44"/>
    <cellStyle name="Date" xfId="8"/>
    <cellStyle name="Excel Built-in Normal" xfId="42"/>
    <cellStyle name="Explanatory Text" xfId="69" builtinId="53"/>
    <cellStyle name="Fixed" xfId="9"/>
    <cellStyle name="Heading1" xfId="10"/>
    <cellStyle name="Heading2" xfId="11"/>
    <cellStyle name="Normal" xfId="0" builtinId="0"/>
    <cellStyle name="Normal 10" xfId="12"/>
    <cellStyle name="Normal 10 2" xfId="13"/>
    <cellStyle name="Normal 10 3" xfId="14"/>
    <cellStyle name="Normal 10 3 2" xfId="15"/>
    <cellStyle name="Normal 10 3 3" xfId="16"/>
    <cellStyle name="Normal 10 3 4" xfId="17"/>
    <cellStyle name="Normal 10 4" xfId="45"/>
    <cellStyle name="Normal 10 4 2" xfId="62"/>
    <cellStyle name="Normal 11" xfId="18"/>
    <cellStyle name="Normal 12" xfId="36"/>
    <cellStyle name="Normal 12 2" xfId="41"/>
    <cellStyle name="Normal 12 2 2 2 2" xfId="54"/>
    <cellStyle name="Normal 12 3 2" xfId="50"/>
    <cellStyle name="Normal 12 3 2 2" xfId="52"/>
    <cellStyle name="Normal 12 3 3" xfId="53"/>
    <cellStyle name="Normal 12 3 4" xfId="56"/>
    <cellStyle name="Normal 12 4" xfId="49"/>
    <cellStyle name="Normal 14" xfId="48"/>
    <cellStyle name="Normal 15" xfId="43"/>
    <cellStyle name="Normal 15 2 2" xfId="55"/>
    <cellStyle name="Normal 15 2 3" xfId="60"/>
    <cellStyle name="Normal 15 3" xfId="59"/>
    <cellStyle name="Normal 15 4" xfId="51"/>
    <cellStyle name="Normal 16 2" xfId="57"/>
    <cellStyle name="Normal 2" xfId="19"/>
    <cellStyle name="Normal 2 2" xfId="20"/>
    <cellStyle name="Normal 2 2 2" xfId="21"/>
    <cellStyle name="Normal 2 2_OlainesPP_Magonite_08_12_1(no groz)" xfId="22"/>
    <cellStyle name="Normal 2 3" xfId="23"/>
    <cellStyle name="Normal 2 3 2" xfId="24"/>
    <cellStyle name="Normal 2 4" xfId="66"/>
    <cellStyle name="Normal 3" xfId="25"/>
    <cellStyle name="Normal 4" xfId="26"/>
    <cellStyle name="Normal 4 2" xfId="68"/>
    <cellStyle name="Normal 4 3" xfId="67"/>
    <cellStyle name="Normal 5" xfId="1"/>
    <cellStyle name="Normal 5 2" xfId="27"/>
    <cellStyle name="Normal 5 2 2" xfId="38"/>
    <cellStyle name="Normal 5 2 3" xfId="40"/>
    <cellStyle name="Normal 5 3" xfId="28"/>
    <cellStyle name="Normal 6" xfId="29"/>
    <cellStyle name="Normal 7" xfId="30"/>
    <cellStyle name="Normal 8" xfId="31"/>
    <cellStyle name="Normal 9" xfId="32"/>
    <cellStyle name="Normal_Būvdarbi" xfId="47"/>
    <cellStyle name="Normal_Būvdarbi 2" xfId="58"/>
    <cellStyle name="Normal_Dz.Nr1" xfId="46"/>
    <cellStyle name="Normal_Ford tame new" xfId="70"/>
    <cellStyle name="Normal_RS_spec_vent_17.05" xfId="64"/>
    <cellStyle name="Normal_SandisP_rem_07" xfId="33"/>
    <cellStyle name="Normal_SIENAS" xfId="61"/>
    <cellStyle name="Parasts 2" xfId="63"/>
    <cellStyle name="Style 1" xfId="34"/>
    <cellStyle name="Обычный_Jelgava 1.internatskola tame (version 1)" xfId="39"/>
    <cellStyle name="Стиль 1" xfId="35"/>
  </cellStyles>
  <dxfs count="137">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8" tint="0.59996337778862885"/>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5" tint="0.39994506668294322"/>
        </patternFill>
      </fill>
    </dxf>
    <dxf>
      <fill>
        <patternFill>
          <bgColor rgb="FFFFC000"/>
        </patternFill>
      </fill>
    </dxf>
    <dxf>
      <fill>
        <patternFill>
          <bgColor theme="6" tint="0.39994506668294322"/>
        </patternFill>
      </fill>
    </dxf>
    <dxf>
      <fill>
        <patternFill>
          <bgColor rgb="FFFF0000"/>
        </patternFill>
      </fill>
    </dxf>
    <dxf>
      <fill>
        <patternFill>
          <bgColor rgb="FFFF0000"/>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ame2\c\Tames&amp;Tames\Formati\kop-tamem-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ropbox%20(Personal)\1MANI%20DOCUMENTI\2017_8augusts\1KAS_JAPILDA2017\2_DARBS_2016\IZMAKSAS_2017.8(12,08,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t,rād."/>
      <sheetName val="KOPRĀME-1"/>
      <sheetName val=" veids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00"/>
      <sheetName val="Sat,rād_"/>
      <sheetName val="_veids2"/>
      <sheetName val="Sat,rād_1"/>
      <sheetName val="_veids21"/>
      <sheetName val="Sat,rād_2"/>
      <sheetName val="_veids22"/>
      <sheetName val="Sat,rād_3"/>
      <sheetName val="_veids23"/>
      <sheetName val="Sat,rād_4"/>
      <sheetName val="Sat,rād_5"/>
      <sheetName val="_veids24"/>
      <sheetName val="Sat,rād_6"/>
      <sheetName val="_veids25"/>
      <sheetName val="Sat,rād_7"/>
      <sheetName val="_veids26"/>
      <sheetName val="Sat,rād_8"/>
      <sheetName val="_veids27"/>
      <sheetName val="Sat,rād_9"/>
      <sheetName val="_veids28"/>
      <sheetName val="Sat,rād_10"/>
      <sheetName val="_veids29"/>
      <sheetName val="Sat,rād_11"/>
      <sheetName val="_veids210"/>
    </sheetNames>
    <sheetDataSet>
      <sheetData sheetId="0" refreshError="1"/>
      <sheetData sheetId="1" refreshError="1"/>
      <sheetData sheetId="2" refreshError="1"/>
      <sheetData sheetId="3" refreshError="1"/>
      <sheetData sheetId="4" refreshError="1">
        <row r="1">
          <cell r="A1">
            <v>1.5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CD-privatmaj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E45"/>
  <sheetViews>
    <sheetView showZeros="0" view="pageBreakPreview" topLeftCell="A7" zoomScaleNormal="100" zoomScaleSheetLayoutView="100" workbookViewId="0">
      <selection activeCell="D35" sqref="D35"/>
    </sheetView>
  </sheetViews>
  <sheetFormatPr defaultColWidth="9.125" defaultRowHeight="15.05"/>
  <cols>
    <col min="1" max="1" width="2.25" style="11" customWidth="1"/>
    <col min="2" max="2" width="26.125" style="5" customWidth="1"/>
    <col min="3" max="3" width="42" style="5" customWidth="1"/>
    <col min="4" max="4" width="20.375" style="5" customWidth="1"/>
    <col min="5" max="5" width="9.125" style="5"/>
    <col min="6" max="16384" width="9.125" style="11"/>
  </cols>
  <sheetData>
    <row r="1" spans="2:4">
      <c r="D1" s="6"/>
    </row>
    <row r="2" spans="2:4" ht="15.75">
      <c r="D2" s="7" t="s">
        <v>0</v>
      </c>
    </row>
    <row r="3" spans="2:4" ht="15.75">
      <c r="D3" s="7" t="s">
        <v>1</v>
      </c>
    </row>
    <row r="4" spans="2:4">
      <c r="D4" s="6" t="s">
        <v>2</v>
      </c>
    </row>
    <row r="5" spans="2:4" ht="15.75">
      <c r="D5" s="7"/>
    </row>
    <row r="6" spans="2:4" ht="15.75">
      <c r="D6" s="7" t="s">
        <v>3</v>
      </c>
    </row>
    <row r="7" spans="2:4" ht="15.75">
      <c r="D7" s="7" t="s">
        <v>4</v>
      </c>
    </row>
    <row r="8" spans="2:4" ht="15.75">
      <c r="B8" s="8"/>
    </row>
    <row r="9" spans="2:4" ht="20.3">
      <c r="B9" s="889" t="s">
        <v>5</v>
      </c>
      <c r="C9" s="890"/>
      <c r="D9" s="891"/>
    </row>
    <row r="10" spans="2:4" ht="15.75">
      <c r="D10" s="7"/>
    </row>
    <row r="11" spans="2:4">
      <c r="B11" s="9" t="s">
        <v>9</v>
      </c>
      <c r="C11" s="892" t="s">
        <v>100</v>
      </c>
      <c r="D11" s="892"/>
    </row>
    <row r="12" spans="2:4" ht="42.05" customHeight="1">
      <c r="B12" s="9" t="s">
        <v>27</v>
      </c>
      <c r="C12" s="892" t="s">
        <v>101</v>
      </c>
      <c r="D12" s="892"/>
    </row>
    <row r="13" spans="2:4">
      <c r="B13" s="9" t="s">
        <v>10</v>
      </c>
      <c r="C13" s="892" t="s">
        <v>102</v>
      </c>
      <c r="D13" s="892"/>
    </row>
    <row r="14" spans="2:4" ht="15.75">
      <c r="B14" s="109" t="s">
        <v>30</v>
      </c>
      <c r="C14" s="896" t="s">
        <v>103</v>
      </c>
      <c r="D14" s="896"/>
    </row>
    <row r="15" spans="2:4" ht="15.75">
      <c r="D15" s="7"/>
    </row>
    <row r="16" spans="2:4">
      <c r="D16" s="10" t="s">
        <v>105</v>
      </c>
    </row>
    <row r="17" spans="2:5" ht="15.75">
      <c r="B17" s="190" t="s">
        <v>104</v>
      </c>
    </row>
    <row r="18" spans="2:5" s="140" customFormat="1">
      <c r="B18" s="893" t="s">
        <v>49</v>
      </c>
      <c r="C18" s="895" t="s">
        <v>6</v>
      </c>
      <c r="D18" s="893" t="s">
        <v>68</v>
      </c>
      <c r="E18" s="124"/>
    </row>
    <row r="19" spans="2:5" s="140" customFormat="1">
      <c r="B19" s="894"/>
      <c r="C19" s="895"/>
      <c r="D19" s="894"/>
      <c r="E19" s="124"/>
    </row>
    <row r="20" spans="2:5" s="140" customFormat="1">
      <c r="B20" s="126"/>
      <c r="C20" s="127"/>
      <c r="D20" s="128"/>
      <c r="E20" s="124"/>
    </row>
    <row r="21" spans="2:5" s="140" customFormat="1">
      <c r="B21" s="129">
        <v>1</v>
      </c>
      <c r="C21" s="130" t="s">
        <v>31</v>
      </c>
      <c r="D21" s="193">
        <f>kops1!E37</f>
        <v>2484712.3400000003</v>
      </c>
      <c r="E21" s="124"/>
    </row>
    <row r="22" spans="2:5" s="140" customFormat="1">
      <c r="B22" s="129">
        <v>2</v>
      </c>
      <c r="C22" s="130" t="s">
        <v>55</v>
      </c>
      <c r="D22" s="193">
        <f>kops2!E39</f>
        <v>1465471.81</v>
      </c>
      <c r="E22" s="124"/>
    </row>
    <row r="23" spans="2:5" s="140" customFormat="1">
      <c r="B23" s="129">
        <v>3</v>
      </c>
      <c r="C23" s="130" t="s">
        <v>56</v>
      </c>
      <c r="D23" s="193">
        <f>kops3!E32</f>
        <v>286714.14</v>
      </c>
      <c r="E23" s="124"/>
    </row>
    <row r="24" spans="2:5" s="140" customFormat="1">
      <c r="B24" s="131">
        <v>4</v>
      </c>
      <c r="C24" s="132" t="s">
        <v>50</v>
      </c>
      <c r="D24" s="194">
        <f>kops4!E27</f>
        <v>305810.8899999999</v>
      </c>
      <c r="E24" s="124"/>
    </row>
    <row r="25" spans="2:5" s="1" customFormat="1">
      <c r="B25" s="133"/>
      <c r="C25" s="134" t="s">
        <v>7</v>
      </c>
      <c r="D25" s="135">
        <f>SUM(D20:D24)</f>
        <v>4542709.18</v>
      </c>
    </row>
    <row r="26" spans="2:5" s="1" customFormat="1">
      <c r="B26" s="133"/>
      <c r="C26" s="186" t="s">
        <v>93</v>
      </c>
      <c r="D26" s="135">
        <f>ROUND(D25*5%,2)</f>
        <v>227135.46</v>
      </c>
    </row>
    <row r="27" spans="2:5" s="1" customFormat="1">
      <c r="B27" s="133"/>
      <c r="C27" s="134" t="s">
        <v>19</v>
      </c>
      <c r="D27" s="135">
        <f>SUM(D25:D26)</f>
        <v>4769844.6399999997</v>
      </c>
    </row>
    <row r="28" spans="2:5" s="1" customFormat="1">
      <c r="B28" s="133"/>
      <c r="C28" s="134"/>
      <c r="D28" s="135"/>
    </row>
    <row r="29" spans="2:5" s="1" customFormat="1">
      <c r="B29" s="133"/>
      <c r="C29" s="136" t="s">
        <v>51</v>
      </c>
      <c r="D29" s="135">
        <f>ROUND(D27*21%,2)</f>
        <v>1001667.37</v>
      </c>
    </row>
    <row r="30" spans="2:5" s="140" customFormat="1" ht="17.05">
      <c r="B30" s="137"/>
      <c r="C30" s="137"/>
      <c r="D30" s="138"/>
      <c r="E30" s="139"/>
    </row>
    <row r="31" spans="2:5" s="140" customFormat="1" ht="17.05">
      <c r="B31" s="137"/>
      <c r="C31" s="137"/>
      <c r="D31" s="138"/>
      <c r="E31" s="139"/>
    </row>
    <row r="32" spans="2:5" s="140" customFormat="1">
      <c r="B32" s="141"/>
      <c r="C32" s="124"/>
      <c r="D32" s="142"/>
      <c r="E32" s="124"/>
    </row>
    <row r="33" spans="2:5" s="1" customFormat="1" ht="14.4">
      <c r="B33" s="2" t="s">
        <v>8</v>
      </c>
      <c r="C33" s="3"/>
      <c r="D33" s="123"/>
    </row>
    <row r="34" spans="2:5" s="1" customFormat="1" ht="14.4">
      <c r="B34" s="3"/>
      <c r="C34" s="184" t="s">
        <v>46</v>
      </c>
      <c r="D34" s="145"/>
      <c r="E34" s="145"/>
    </row>
    <row r="35" spans="2:5" s="1" customFormat="1" ht="14.4">
      <c r="B35" s="2"/>
      <c r="C35" s="185" t="s">
        <v>47</v>
      </c>
      <c r="D35" s="107"/>
      <c r="E35" s="107"/>
    </row>
    <row r="36" spans="2:5" s="1" customFormat="1" ht="14.4">
      <c r="B36" s="2"/>
      <c r="C36" s="144"/>
      <c r="D36" s="107"/>
      <c r="E36" s="107"/>
    </row>
    <row r="37" spans="2:5" s="1" customFormat="1" ht="14.4">
      <c r="B37" s="2"/>
      <c r="C37" s="144"/>
      <c r="D37" s="107"/>
      <c r="E37" s="107"/>
    </row>
    <row r="38" spans="2:5" s="1" customFormat="1" ht="14.4">
      <c r="B38" s="4"/>
      <c r="D38" s="144"/>
      <c r="E38" s="144"/>
    </row>
    <row r="39" spans="2:5" s="140" customFormat="1">
      <c r="B39" s="2" t="s">
        <v>48</v>
      </c>
      <c r="C39" s="156"/>
      <c r="D39" s="124"/>
      <c r="E39" s="124"/>
    </row>
    <row r="40" spans="2:5" s="1" customFormat="1" ht="14.4">
      <c r="B40" s="3"/>
      <c r="C40" s="188" t="s">
        <v>106</v>
      </c>
      <c r="D40" s="145"/>
      <c r="E40" s="145"/>
    </row>
    <row r="41" spans="2:5" s="1" customFormat="1" ht="14.4">
      <c r="B41" s="2"/>
      <c r="C41" s="189" t="s">
        <v>107</v>
      </c>
      <c r="D41" s="107"/>
      <c r="E41" s="107"/>
    </row>
    <row r="42" spans="2:5" s="140" customFormat="1">
      <c r="B42" s="155"/>
      <c r="C42" s="124"/>
      <c r="D42" s="124"/>
      <c r="E42" s="124"/>
    </row>
    <row r="43" spans="2:5">
      <c r="B43" s="2"/>
      <c r="C43" s="156"/>
    </row>
    <row r="44" spans="2:5">
      <c r="B44" s="3"/>
      <c r="C44" s="151"/>
    </row>
    <row r="45" spans="2:5">
      <c r="C45" s="152"/>
    </row>
  </sheetData>
  <mergeCells count="8">
    <mergeCell ref="B9:D9"/>
    <mergeCell ref="C12:D12"/>
    <mergeCell ref="B18:B19"/>
    <mergeCell ref="C18:C19"/>
    <mergeCell ref="D18:D19"/>
    <mergeCell ref="C11:D11"/>
    <mergeCell ref="C13:D13"/>
    <mergeCell ref="C14:D14"/>
  </mergeCells>
  <pageMargins left="0.52" right="0.56999999999999995" top="0.75" bottom="0.75" header="0.3" footer="0.3"/>
  <pageSetup paperSize="9" scale="9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103"/>
  <sheetViews>
    <sheetView showZeros="0" view="pageBreakPreview" zoomScale="90" zoomScaleNormal="100" zoomScaleSheetLayoutView="90" workbookViewId="0">
      <selection activeCell="A97" sqref="A97:P97"/>
    </sheetView>
  </sheetViews>
  <sheetFormatPr defaultColWidth="9.125" defaultRowHeight="14.4"/>
  <cols>
    <col min="1" max="1" width="9" style="19" customWidth="1"/>
    <col min="2" max="2" width="9.375" style="19" customWidth="1"/>
    <col min="3" max="3" width="40.25" style="1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kops1!B28</f>
        <v>1,8</v>
      </c>
    </row>
    <row r="2" spans="1:16" s="24" customFormat="1">
      <c r="A2" s="919" t="str">
        <f>C13</f>
        <v>Ailu aizpildījuma elementi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P93</f>
        <v>217288.71999999994</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c r="C13" s="13" t="str">
        <f>kops1!C28</f>
        <v>Ailu aizpildījuma elementi</v>
      </c>
      <c r="D13" s="14"/>
      <c r="E13" s="15"/>
      <c r="F13" s="50">
        <v>0</v>
      </c>
      <c r="G13" s="50">
        <v>0</v>
      </c>
      <c r="H13" s="31"/>
      <c r="I13" s="29"/>
      <c r="J13" s="29"/>
      <c r="K13" s="102">
        <f t="shared" ref="K13" si="0">SUM(H13:J13)</f>
        <v>0</v>
      </c>
      <c r="L13" s="50">
        <f t="shared" ref="L13" si="1">ROUND(F13*E13,2)</f>
        <v>0</v>
      </c>
      <c r="M13" s="102">
        <f t="shared" ref="M13" si="2">ROUND(H13*E13,2)</f>
        <v>0</v>
      </c>
      <c r="N13" s="102">
        <f t="shared" ref="N13" si="3">ROUND(I13*E13,2)</f>
        <v>0</v>
      </c>
      <c r="O13" s="102">
        <f t="shared" ref="O13" si="4">ROUND(J13*E13,2)</f>
        <v>0</v>
      </c>
      <c r="P13" s="103">
        <f t="shared" ref="P13" si="5">SUM(M13:O13)</f>
        <v>0</v>
      </c>
    </row>
    <row r="14" spans="1:16" s="56" customFormat="1" ht="37.35">
      <c r="A14" s="474">
        <v>1</v>
      </c>
      <c r="B14" s="499"/>
      <c r="C14" s="500" t="s">
        <v>1303</v>
      </c>
      <c r="D14" s="491" t="s">
        <v>111</v>
      </c>
      <c r="E14" s="487">
        <v>510</v>
      </c>
      <c r="F14" s="462">
        <v>0.6</v>
      </c>
      <c r="G14" s="463">
        <v>9.5</v>
      </c>
      <c r="H14" s="455">
        <f t="shared" ref="H14" si="6">ROUND(F14*G14,2)</f>
        <v>5.7</v>
      </c>
      <c r="I14" s="464">
        <v>6.99</v>
      </c>
      <c r="J14" s="464">
        <v>0.11</v>
      </c>
      <c r="K14" s="102">
        <f>SUM(H14:J14)</f>
        <v>12.8</v>
      </c>
      <c r="L14" s="50">
        <f>ROUND(F14*E14,2)</f>
        <v>306</v>
      </c>
      <c r="M14" s="102">
        <f>ROUND(H14*E14,2)</f>
        <v>2907</v>
      </c>
      <c r="N14" s="102">
        <f>ROUND(I14*E14,2)</f>
        <v>3564.9</v>
      </c>
      <c r="O14" s="102">
        <f>ROUND(J14*E14,2)</f>
        <v>56.1</v>
      </c>
      <c r="P14" s="103">
        <f>SUM(M14:O14)</f>
        <v>6528</v>
      </c>
    </row>
    <row r="15" spans="1:16" s="56" customFormat="1">
      <c r="A15" s="556">
        <v>2</v>
      </c>
      <c r="B15" s="516"/>
      <c r="C15" s="557" t="s">
        <v>1304</v>
      </c>
      <c r="D15" s="558" t="s">
        <v>29</v>
      </c>
      <c r="E15" s="559">
        <v>103.6</v>
      </c>
      <c r="F15" s="462">
        <v>3.1</v>
      </c>
      <c r="G15" s="463">
        <v>9.5</v>
      </c>
      <c r="H15" s="455">
        <f>ROUND(F15*G15,2)</f>
        <v>29.45</v>
      </c>
      <c r="I15" s="464">
        <v>0</v>
      </c>
      <c r="J15" s="464">
        <v>2.82</v>
      </c>
      <c r="K15" s="102">
        <f t="shared" ref="K15:K78" si="7">SUM(H15:J15)</f>
        <v>32.269999999999996</v>
      </c>
      <c r="L15" s="50">
        <f t="shared" ref="L15:L78" si="8">ROUND(F15*E15,2)</f>
        <v>321.16000000000003</v>
      </c>
      <c r="M15" s="102">
        <f t="shared" ref="M15:M78" si="9">ROUND(H15*E15,2)</f>
        <v>3051.02</v>
      </c>
      <c r="N15" s="102">
        <f t="shared" ref="N15:N78" si="10">ROUND(I15*E15,2)</f>
        <v>0</v>
      </c>
      <c r="O15" s="102">
        <f t="shared" ref="O15:O78" si="11">ROUND(J15*E15,2)</f>
        <v>292.14999999999998</v>
      </c>
      <c r="P15" s="103">
        <f t="shared" ref="P15:P78" si="12">SUM(M15:O15)</f>
        <v>3343.17</v>
      </c>
    </row>
    <row r="16" spans="1:16" s="56" customFormat="1">
      <c r="A16" s="556">
        <v>0</v>
      </c>
      <c r="B16" s="516"/>
      <c r="C16" s="560" t="s">
        <v>1305</v>
      </c>
      <c r="D16" s="561" t="s">
        <v>723</v>
      </c>
      <c r="E16" s="562">
        <v>18</v>
      </c>
      <c r="F16" s="462"/>
      <c r="G16" s="463"/>
      <c r="H16" s="455">
        <f>ROUND(F16*G16,2)</f>
        <v>0</v>
      </c>
      <c r="I16" s="464">
        <v>290.40000000000003</v>
      </c>
      <c r="J16" s="464"/>
      <c r="K16" s="102">
        <f t="shared" si="7"/>
        <v>290.40000000000003</v>
      </c>
      <c r="L16" s="50">
        <f t="shared" si="8"/>
        <v>0</v>
      </c>
      <c r="M16" s="102">
        <f t="shared" si="9"/>
        <v>0</v>
      </c>
      <c r="N16" s="102">
        <f t="shared" si="10"/>
        <v>5227.2</v>
      </c>
      <c r="O16" s="102">
        <f t="shared" si="11"/>
        <v>0</v>
      </c>
      <c r="P16" s="103">
        <f t="shared" si="12"/>
        <v>5227.2</v>
      </c>
    </row>
    <row r="17" spans="1:16" s="56" customFormat="1">
      <c r="A17" s="556">
        <v>0</v>
      </c>
      <c r="B17" s="516"/>
      <c r="C17" s="560" t="s">
        <v>1306</v>
      </c>
      <c r="D17" s="561" t="s">
        <v>723</v>
      </c>
      <c r="E17" s="562">
        <v>2</v>
      </c>
      <c r="F17" s="462"/>
      <c r="G17" s="463"/>
      <c r="H17" s="455">
        <f>ROUND(F17*G17,2)</f>
        <v>0</v>
      </c>
      <c r="I17" s="464">
        <v>290.40000000000003</v>
      </c>
      <c r="J17" s="464"/>
      <c r="K17" s="102">
        <f t="shared" si="7"/>
        <v>290.40000000000003</v>
      </c>
      <c r="L17" s="50">
        <f t="shared" si="8"/>
        <v>0</v>
      </c>
      <c r="M17" s="102">
        <f t="shared" si="9"/>
        <v>0</v>
      </c>
      <c r="N17" s="102">
        <f t="shared" si="10"/>
        <v>580.79999999999995</v>
      </c>
      <c r="O17" s="102">
        <f t="shared" si="11"/>
        <v>0</v>
      </c>
      <c r="P17" s="103">
        <f t="shared" si="12"/>
        <v>580.79999999999995</v>
      </c>
    </row>
    <row r="18" spans="1:16" s="56" customFormat="1">
      <c r="A18" s="556">
        <v>0</v>
      </c>
      <c r="B18" s="516"/>
      <c r="C18" s="560" t="s">
        <v>1307</v>
      </c>
      <c r="D18" s="561" t="s">
        <v>723</v>
      </c>
      <c r="E18" s="562">
        <v>1</v>
      </c>
      <c r="F18" s="462"/>
      <c r="G18" s="463"/>
      <c r="H18" s="455"/>
      <c r="I18" s="464">
        <v>528</v>
      </c>
      <c r="J18" s="464"/>
      <c r="K18" s="102">
        <f t="shared" si="7"/>
        <v>528</v>
      </c>
      <c r="L18" s="50">
        <f t="shared" si="8"/>
        <v>0</v>
      </c>
      <c r="M18" s="102">
        <f t="shared" si="9"/>
        <v>0</v>
      </c>
      <c r="N18" s="102">
        <f t="shared" si="10"/>
        <v>528</v>
      </c>
      <c r="O18" s="102">
        <f t="shared" si="11"/>
        <v>0</v>
      </c>
      <c r="P18" s="103">
        <f t="shared" si="12"/>
        <v>528</v>
      </c>
    </row>
    <row r="19" spans="1:16" s="56" customFormat="1">
      <c r="A19" s="556">
        <v>0</v>
      </c>
      <c r="B19" s="516"/>
      <c r="C19" s="560" t="s">
        <v>1308</v>
      </c>
      <c r="D19" s="561" t="s">
        <v>723</v>
      </c>
      <c r="E19" s="562">
        <v>2</v>
      </c>
      <c r="F19" s="462"/>
      <c r="G19" s="463"/>
      <c r="H19" s="455"/>
      <c r="I19" s="464">
        <v>1729.2</v>
      </c>
      <c r="J19" s="464"/>
      <c r="K19" s="102">
        <f t="shared" si="7"/>
        <v>1729.2</v>
      </c>
      <c r="L19" s="50">
        <f t="shared" si="8"/>
        <v>0</v>
      </c>
      <c r="M19" s="102">
        <f t="shared" si="9"/>
        <v>0</v>
      </c>
      <c r="N19" s="102">
        <f t="shared" si="10"/>
        <v>3458.4</v>
      </c>
      <c r="O19" s="102">
        <f t="shared" si="11"/>
        <v>0</v>
      </c>
      <c r="P19" s="103">
        <f t="shared" si="12"/>
        <v>3458.4</v>
      </c>
    </row>
    <row r="20" spans="1:16" s="56" customFormat="1">
      <c r="A20" s="556">
        <v>0</v>
      </c>
      <c r="B20" s="516"/>
      <c r="C20" s="560" t="s">
        <v>1309</v>
      </c>
      <c r="D20" s="561" t="s">
        <v>723</v>
      </c>
      <c r="E20" s="562">
        <v>2</v>
      </c>
      <c r="F20" s="462"/>
      <c r="G20" s="463"/>
      <c r="H20" s="455"/>
      <c r="I20" s="464">
        <v>1729.2</v>
      </c>
      <c r="J20" s="464"/>
      <c r="K20" s="102">
        <f t="shared" si="7"/>
        <v>1729.2</v>
      </c>
      <c r="L20" s="50">
        <f t="shared" si="8"/>
        <v>0</v>
      </c>
      <c r="M20" s="102">
        <f t="shared" si="9"/>
        <v>0</v>
      </c>
      <c r="N20" s="102">
        <f t="shared" si="10"/>
        <v>3458.4</v>
      </c>
      <c r="O20" s="102">
        <f t="shared" si="11"/>
        <v>0</v>
      </c>
      <c r="P20" s="103">
        <f t="shared" si="12"/>
        <v>3458.4</v>
      </c>
    </row>
    <row r="21" spans="1:16" s="56" customFormat="1">
      <c r="A21" s="556">
        <v>0</v>
      </c>
      <c r="B21" s="516"/>
      <c r="C21" s="560" t="s">
        <v>1310</v>
      </c>
      <c r="D21" s="561"/>
      <c r="E21" s="562">
        <v>2</v>
      </c>
      <c r="F21" s="462"/>
      <c r="G21" s="463"/>
      <c r="H21" s="455"/>
      <c r="I21" s="464">
        <v>580.80000000000007</v>
      </c>
      <c r="J21" s="464"/>
      <c r="K21" s="102">
        <f t="shared" si="7"/>
        <v>580.80000000000007</v>
      </c>
      <c r="L21" s="50">
        <f t="shared" si="8"/>
        <v>0</v>
      </c>
      <c r="M21" s="102">
        <f t="shared" si="9"/>
        <v>0</v>
      </c>
      <c r="N21" s="102">
        <f t="shared" si="10"/>
        <v>1161.5999999999999</v>
      </c>
      <c r="O21" s="102">
        <f t="shared" si="11"/>
        <v>0</v>
      </c>
      <c r="P21" s="103">
        <f t="shared" si="12"/>
        <v>1161.5999999999999</v>
      </c>
    </row>
    <row r="22" spans="1:16" s="56" customFormat="1">
      <c r="A22" s="556">
        <v>0</v>
      </c>
      <c r="B22" s="516"/>
      <c r="C22" s="560" t="s">
        <v>1311</v>
      </c>
      <c r="D22" s="561"/>
      <c r="E22" s="562">
        <v>2</v>
      </c>
      <c r="F22" s="462"/>
      <c r="G22" s="463"/>
      <c r="H22" s="455"/>
      <c r="I22" s="464">
        <v>580.80000000000007</v>
      </c>
      <c r="J22" s="464"/>
      <c r="K22" s="102">
        <f t="shared" si="7"/>
        <v>580.80000000000007</v>
      </c>
      <c r="L22" s="50">
        <f t="shared" si="8"/>
        <v>0</v>
      </c>
      <c r="M22" s="102">
        <f t="shared" si="9"/>
        <v>0</v>
      </c>
      <c r="N22" s="102">
        <f t="shared" si="10"/>
        <v>1161.5999999999999</v>
      </c>
      <c r="O22" s="102">
        <f t="shared" si="11"/>
        <v>0</v>
      </c>
      <c r="P22" s="103">
        <f t="shared" si="12"/>
        <v>1161.5999999999999</v>
      </c>
    </row>
    <row r="23" spans="1:16" s="56" customFormat="1">
      <c r="A23" s="556">
        <v>0</v>
      </c>
      <c r="B23" s="516"/>
      <c r="C23" s="560" t="s">
        <v>1312</v>
      </c>
      <c r="D23" s="561"/>
      <c r="E23" s="562">
        <v>4</v>
      </c>
      <c r="F23" s="462"/>
      <c r="G23" s="463"/>
      <c r="H23" s="455"/>
      <c r="I23" s="464">
        <v>2323.2000000000003</v>
      </c>
      <c r="J23" s="464"/>
      <c r="K23" s="102">
        <f t="shared" si="7"/>
        <v>2323.2000000000003</v>
      </c>
      <c r="L23" s="50">
        <f t="shared" si="8"/>
        <v>0</v>
      </c>
      <c r="M23" s="102">
        <f t="shared" si="9"/>
        <v>0</v>
      </c>
      <c r="N23" s="102">
        <f t="shared" si="10"/>
        <v>9292.7999999999993</v>
      </c>
      <c r="O23" s="102">
        <f t="shared" si="11"/>
        <v>0</v>
      </c>
      <c r="P23" s="103">
        <f t="shared" si="12"/>
        <v>9292.7999999999993</v>
      </c>
    </row>
    <row r="24" spans="1:16" s="56" customFormat="1" ht="24.9">
      <c r="A24" s="556">
        <v>0</v>
      </c>
      <c r="B24" s="516"/>
      <c r="C24" s="560" t="s">
        <v>1313</v>
      </c>
      <c r="D24" s="561" t="s">
        <v>29</v>
      </c>
      <c r="E24" s="559">
        <f>E15</f>
        <v>103.6</v>
      </c>
      <c r="F24" s="462">
        <v>0</v>
      </c>
      <c r="G24" s="463">
        <f t="shared" ref="G24" si="13">IF(F24&gt;0,5,0)</f>
        <v>0</v>
      </c>
      <c r="H24" s="455">
        <f>ROUND(F24*G24,2)</f>
        <v>0</v>
      </c>
      <c r="I24" s="464">
        <v>3.18</v>
      </c>
      <c r="J24" s="464">
        <v>0</v>
      </c>
      <c r="K24" s="102">
        <f t="shared" si="7"/>
        <v>3.18</v>
      </c>
      <c r="L24" s="50">
        <f t="shared" si="8"/>
        <v>0</v>
      </c>
      <c r="M24" s="102">
        <f t="shared" si="9"/>
        <v>0</v>
      </c>
      <c r="N24" s="102">
        <f t="shared" si="10"/>
        <v>329.45</v>
      </c>
      <c r="O24" s="102">
        <f t="shared" si="11"/>
        <v>0</v>
      </c>
      <c r="P24" s="103">
        <f t="shared" si="12"/>
        <v>329.45</v>
      </c>
    </row>
    <row r="25" spans="1:16" s="56" customFormat="1">
      <c r="A25" s="556">
        <v>3</v>
      </c>
      <c r="B25" s="516"/>
      <c r="C25" s="557" t="s">
        <v>1314</v>
      </c>
      <c r="D25" s="558" t="s">
        <v>111</v>
      </c>
      <c r="E25" s="559">
        <v>79.400000000000006</v>
      </c>
      <c r="F25" s="462">
        <v>0.52</v>
      </c>
      <c r="G25" s="463">
        <v>9.5</v>
      </c>
      <c r="H25" s="455">
        <v>2.81</v>
      </c>
      <c r="I25" s="464">
        <v>9.5</v>
      </c>
      <c r="J25" s="464">
        <v>0.44</v>
      </c>
      <c r="K25" s="102">
        <f t="shared" si="7"/>
        <v>12.75</v>
      </c>
      <c r="L25" s="50">
        <f t="shared" si="8"/>
        <v>41.29</v>
      </c>
      <c r="M25" s="102">
        <f t="shared" si="9"/>
        <v>223.11</v>
      </c>
      <c r="N25" s="102">
        <f t="shared" si="10"/>
        <v>754.3</v>
      </c>
      <c r="O25" s="102">
        <f t="shared" si="11"/>
        <v>34.94</v>
      </c>
      <c r="P25" s="103">
        <f t="shared" si="12"/>
        <v>1012.3499999999999</v>
      </c>
    </row>
    <row r="26" spans="1:16" s="56" customFormat="1" ht="24.9">
      <c r="A26" s="556">
        <v>4</v>
      </c>
      <c r="B26" s="516"/>
      <c r="C26" s="557" t="s">
        <v>1315</v>
      </c>
      <c r="D26" s="558" t="s">
        <v>29</v>
      </c>
      <c r="E26" s="559">
        <v>208.3</v>
      </c>
      <c r="F26" s="462">
        <v>3.8</v>
      </c>
      <c r="G26" s="463">
        <v>9.5</v>
      </c>
      <c r="H26" s="455">
        <f t="shared" ref="H26:H42" si="14">ROUND(F26*G26,2)</f>
        <v>36.1</v>
      </c>
      <c r="I26" s="464"/>
      <c r="J26" s="464">
        <v>2.9</v>
      </c>
      <c r="K26" s="102">
        <f t="shared" si="7"/>
        <v>39</v>
      </c>
      <c r="L26" s="50">
        <f t="shared" si="8"/>
        <v>791.54</v>
      </c>
      <c r="M26" s="102">
        <f t="shared" si="9"/>
        <v>7519.63</v>
      </c>
      <c r="N26" s="102">
        <f t="shared" si="10"/>
        <v>0</v>
      </c>
      <c r="O26" s="102">
        <f t="shared" si="11"/>
        <v>604.07000000000005</v>
      </c>
      <c r="P26" s="103">
        <f t="shared" si="12"/>
        <v>8123.7</v>
      </c>
    </row>
    <row r="27" spans="1:16" s="56" customFormat="1">
      <c r="A27" s="556">
        <v>0</v>
      </c>
      <c r="B27" s="516"/>
      <c r="C27" s="560" t="s">
        <v>1316</v>
      </c>
      <c r="D27" s="561" t="s">
        <v>723</v>
      </c>
      <c r="E27" s="562">
        <v>1</v>
      </c>
      <c r="F27" s="462"/>
      <c r="G27" s="463"/>
      <c r="H27" s="455">
        <f t="shared" si="14"/>
        <v>0</v>
      </c>
      <c r="I27" s="464">
        <v>15752.800000000001</v>
      </c>
      <c r="J27" s="464"/>
      <c r="K27" s="102">
        <f t="shared" si="7"/>
        <v>15752.800000000001</v>
      </c>
      <c r="L27" s="50">
        <f t="shared" si="8"/>
        <v>0</v>
      </c>
      <c r="M27" s="102">
        <f t="shared" si="9"/>
        <v>0</v>
      </c>
      <c r="N27" s="102">
        <f t="shared" si="10"/>
        <v>15752.8</v>
      </c>
      <c r="O27" s="102">
        <f t="shared" si="11"/>
        <v>0</v>
      </c>
      <c r="P27" s="103">
        <f t="shared" si="12"/>
        <v>15752.8</v>
      </c>
    </row>
    <row r="28" spans="1:16" s="56" customFormat="1">
      <c r="A28" s="556">
        <v>0</v>
      </c>
      <c r="B28" s="516"/>
      <c r="C28" s="560" t="s">
        <v>1317</v>
      </c>
      <c r="D28" s="561" t="s">
        <v>723</v>
      </c>
      <c r="E28" s="562">
        <v>1</v>
      </c>
      <c r="F28" s="462"/>
      <c r="G28" s="463"/>
      <c r="H28" s="455">
        <f t="shared" si="14"/>
        <v>0</v>
      </c>
      <c r="I28" s="464">
        <v>15752.800000000001</v>
      </c>
      <c r="J28" s="464"/>
      <c r="K28" s="102">
        <f t="shared" si="7"/>
        <v>15752.800000000001</v>
      </c>
      <c r="L28" s="50">
        <f t="shared" si="8"/>
        <v>0</v>
      </c>
      <c r="M28" s="102">
        <f t="shared" si="9"/>
        <v>0</v>
      </c>
      <c r="N28" s="102">
        <f t="shared" si="10"/>
        <v>15752.8</v>
      </c>
      <c r="O28" s="102">
        <f t="shared" si="11"/>
        <v>0</v>
      </c>
      <c r="P28" s="103">
        <f t="shared" si="12"/>
        <v>15752.8</v>
      </c>
    </row>
    <row r="29" spans="1:16" s="56" customFormat="1">
      <c r="A29" s="556">
        <v>0</v>
      </c>
      <c r="B29" s="516"/>
      <c r="C29" s="560" t="s">
        <v>1318</v>
      </c>
      <c r="D29" s="561" t="s">
        <v>723</v>
      </c>
      <c r="E29" s="562">
        <v>1</v>
      </c>
      <c r="F29" s="462"/>
      <c r="G29" s="463"/>
      <c r="H29" s="455">
        <f t="shared" si="14"/>
        <v>0</v>
      </c>
      <c r="I29" s="464">
        <v>15488.899999999998</v>
      </c>
      <c r="J29" s="464"/>
      <c r="K29" s="102">
        <f t="shared" si="7"/>
        <v>15488.899999999998</v>
      </c>
      <c r="L29" s="50">
        <f t="shared" si="8"/>
        <v>0</v>
      </c>
      <c r="M29" s="102">
        <f t="shared" si="9"/>
        <v>0</v>
      </c>
      <c r="N29" s="102">
        <f t="shared" si="10"/>
        <v>15488.9</v>
      </c>
      <c r="O29" s="102">
        <f t="shared" si="11"/>
        <v>0</v>
      </c>
      <c r="P29" s="103">
        <f t="shared" si="12"/>
        <v>15488.9</v>
      </c>
    </row>
    <row r="30" spans="1:16" s="56" customFormat="1">
      <c r="A30" s="556">
        <v>0</v>
      </c>
      <c r="B30" s="516"/>
      <c r="C30" s="560" t="s">
        <v>1319</v>
      </c>
      <c r="D30" s="561" t="s">
        <v>723</v>
      </c>
      <c r="E30" s="562">
        <v>1</v>
      </c>
      <c r="F30" s="462"/>
      <c r="G30" s="463"/>
      <c r="H30" s="455">
        <f t="shared" si="14"/>
        <v>0</v>
      </c>
      <c r="I30" s="464">
        <v>6699</v>
      </c>
      <c r="J30" s="464"/>
      <c r="K30" s="102">
        <f t="shared" si="7"/>
        <v>6699</v>
      </c>
      <c r="L30" s="50">
        <f t="shared" si="8"/>
        <v>0</v>
      </c>
      <c r="M30" s="102">
        <f t="shared" si="9"/>
        <v>0</v>
      </c>
      <c r="N30" s="102">
        <f t="shared" si="10"/>
        <v>6699</v>
      </c>
      <c r="O30" s="102">
        <f t="shared" si="11"/>
        <v>0</v>
      </c>
      <c r="P30" s="103">
        <f t="shared" si="12"/>
        <v>6699</v>
      </c>
    </row>
    <row r="31" spans="1:16" s="56" customFormat="1">
      <c r="A31" s="556">
        <v>0</v>
      </c>
      <c r="B31" s="516"/>
      <c r="C31" s="560" t="s">
        <v>1320</v>
      </c>
      <c r="D31" s="561" t="s">
        <v>723</v>
      </c>
      <c r="E31" s="562">
        <v>1</v>
      </c>
      <c r="F31" s="462"/>
      <c r="G31" s="463"/>
      <c r="H31" s="455">
        <f t="shared" si="14"/>
        <v>0</v>
      </c>
      <c r="I31" s="464">
        <v>6699</v>
      </c>
      <c r="J31" s="464"/>
      <c r="K31" s="102">
        <f t="shared" si="7"/>
        <v>6699</v>
      </c>
      <c r="L31" s="50">
        <f t="shared" si="8"/>
        <v>0</v>
      </c>
      <c r="M31" s="102">
        <f t="shared" si="9"/>
        <v>0</v>
      </c>
      <c r="N31" s="102">
        <f t="shared" si="10"/>
        <v>6699</v>
      </c>
      <c r="O31" s="102">
        <f t="shared" si="11"/>
        <v>0</v>
      </c>
      <c r="P31" s="103">
        <f t="shared" si="12"/>
        <v>6699</v>
      </c>
    </row>
    <row r="32" spans="1:16" s="56" customFormat="1" ht="24.9">
      <c r="A32" s="556">
        <v>0</v>
      </c>
      <c r="B32" s="516"/>
      <c r="C32" s="560" t="s">
        <v>1313</v>
      </c>
      <c r="D32" s="561" t="s">
        <v>29</v>
      </c>
      <c r="E32" s="559">
        <f>E26</f>
        <v>208.3</v>
      </c>
      <c r="F32" s="462"/>
      <c r="G32" s="463"/>
      <c r="H32" s="455">
        <f t="shared" si="14"/>
        <v>0</v>
      </c>
      <c r="I32" s="464">
        <v>3.18</v>
      </c>
      <c r="J32" s="464"/>
      <c r="K32" s="102">
        <f t="shared" si="7"/>
        <v>3.18</v>
      </c>
      <c r="L32" s="50">
        <f t="shared" si="8"/>
        <v>0</v>
      </c>
      <c r="M32" s="102">
        <f t="shared" si="9"/>
        <v>0</v>
      </c>
      <c r="N32" s="102">
        <f t="shared" si="10"/>
        <v>662.39</v>
      </c>
      <c r="O32" s="102">
        <f t="shared" si="11"/>
        <v>0</v>
      </c>
      <c r="P32" s="103">
        <f t="shared" si="12"/>
        <v>662.39</v>
      </c>
    </row>
    <row r="33" spans="1:16" s="56" customFormat="1">
      <c r="A33" s="556">
        <v>5</v>
      </c>
      <c r="B33" s="516"/>
      <c r="C33" s="557" t="s">
        <v>1321</v>
      </c>
      <c r="D33" s="558" t="s">
        <v>29</v>
      </c>
      <c r="E33" s="559">
        <v>94.5</v>
      </c>
      <c r="F33" s="462">
        <v>3.8</v>
      </c>
      <c r="G33" s="463">
        <v>9.5</v>
      </c>
      <c r="H33" s="455">
        <f t="shared" si="14"/>
        <v>36.1</v>
      </c>
      <c r="I33" s="464"/>
      <c r="J33" s="464">
        <v>2.9</v>
      </c>
      <c r="K33" s="102">
        <f t="shared" si="7"/>
        <v>39</v>
      </c>
      <c r="L33" s="50">
        <f t="shared" si="8"/>
        <v>359.1</v>
      </c>
      <c r="M33" s="102">
        <f t="shared" si="9"/>
        <v>3411.45</v>
      </c>
      <c r="N33" s="102">
        <f t="shared" si="10"/>
        <v>0</v>
      </c>
      <c r="O33" s="102">
        <f t="shared" si="11"/>
        <v>274.05</v>
      </c>
      <c r="P33" s="103">
        <f t="shared" si="12"/>
        <v>3685.5</v>
      </c>
    </row>
    <row r="34" spans="1:16" s="56" customFormat="1">
      <c r="A34" s="556">
        <v>0</v>
      </c>
      <c r="B34" s="516"/>
      <c r="C34" s="560" t="s">
        <v>1322</v>
      </c>
      <c r="D34" s="561" t="s">
        <v>723</v>
      </c>
      <c r="E34" s="562">
        <v>1</v>
      </c>
      <c r="F34" s="462"/>
      <c r="G34" s="463"/>
      <c r="H34" s="455">
        <f t="shared" si="14"/>
        <v>0</v>
      </c>
      <c r="I34" s="464">
        <v>1249.5</v>
      </c>
      <c r="J34" s="464"/>
      <c r="K34" s="102">
        <f t="shared" si="7"/>
        <v>1249.5</v>
      </c>
      <c r="L34" s="50">
        <f t="shared" si="8"/>
        <v>0</v>
      </c>
      <c r="M34" s="102">
        <f t="shared" si="9"/>
        <v>0</v>
      </c>
      <c r="N34" s="102">
        <f t="shared" si="10"/>
        <v>1249.5</v>
      </c>
      <c r="O34" s="102">
        <f t="shared" si="11"/>
        <v>0</v>
      </c>
      <c r="P34" s="103">
        <f t="shared" si="12"/>
        <v>1249.5</v>
      </c>
    </row>
    <row r="35" spans="1:16" s="56" customFormat="1">
      <c r="A35" s="556">
        <v>0</v>
      </c>
      <c r="B35" s="516"/>
      <c r="C35" s="560" t="s">
        <v>1323</v>
      </c>
      <c r="D35" s="561" t="s">
        <v>723</v>
      </c>
      <c r="E35" s="562">
        <v>1</v>
      </c>
      <c r="F35" s="462"/>
      <c r="G35" s="463"/>
      <c r="H35" s="455">
        <f t="shared" si="14"/>
        <v>0</v>
      </c>
      <c r="I35" s="464">
        <v>1540.875</v>
      </c>
      <c r="J35" s="464"/>
      <c r="K35" s="102">
        <f t="shared" si="7"/>
        <v>1540.875</v>
      </c>
      <c r="L35" s="50">
        <f t="shared" si="8"/>
        <v>0</v>
      </c>
      <c r="M35" s="102">
        <f t="shared" si="9"/>
        <v>0</v>
      </c>
      <c r="N35" s="102">
        <f t="shared" si="10"/>
        <v>1540.88</v>
      </c>
      <c r="O35" s="102">
        <f t="shared" si="11"/>
        <v>0</v>
      </c>
      <c r="P35" s="103">
        <f t="shared" si="12"/>
        <v>1540.88</v>
      </c>
    </row>
    <row r="36" spans="1:16" s="56" customFormat="1">
      <c r="A36" s="556">
        <v>0</v>
      </c>
      <c r="B36" s="516"/>
      <c r="C36" s="560" t="s">
        <v>1324</v>
      </c>
      <c r="D36" s="561" t="s">
        <v>723</v>
      </c>
      <c r="E36" s="562">
        <v>1</v>
      </c>
      <c r="F36" s="462"/>
      <c r="G36" s="463"/>
      <c r="H36" s="455">
        <f t="shared" si="14"/>
        <v>0</v>
      </c>
      <c r="I36" s="464">
        <v>2457</v>
      </c>
      <c r="J36" s="464"/>
      <c r="K36" s="102">
        <f t="shared" si="7"/>
        <v>2457</v>
      </c>
      <c r="L36" s="50">
        <f t="shared" si="8"/>
        <v>0</v>
      </c>
      <c r="M36" s="102">
        <f t="shared" si="9"/>
        <v>0</v>
      </c>
      <c r="N36" s="102">
        <f t="shared" si="10"/>
        <v>2457</v>
      </c>
      <c r="O36" s="102">
        <f t="shared" si="11"/>
        <v>0</v>
      </c>
      <c r="P36" s="103">
        <f t="shared" si="12"/>
        <v>2457</v>
      </c>
    </row>
    <row r="37" spans="1:16" s="56" customFormat="1">
      <c r="A37" s="556">
        <v>0</v>
      </c>
      <c r="B37" s="516"/>
      <c r="C37" s="560" t="s">
        <v>1325</v>
      </c>
      <c r="D37" s="561" t="s">
        <v>723</v>
      </c>
      <c r="E37" s="562">
        <v>1</v>
      </c>
      <c r="F37" s="462"/>
      <c r="G37" s="463"/>
      <c r="H37" s="455">
        <f t="shared" si="14"/>
        <v>0</v>
      </c>
      <c r="I37" s="464">
        <v>5806.5</v>
      </c>
      <c r="J37" s="464"/>
      <c r="K37" s="102">
        <f t="shared" si="7"/>
        <v>5806.5</v>
      </c>
      <c r="L37" s="50">
        <f t="shared" si="8"/>
        <v>0</v>
      </c>
      <c r="M37" s="102">
        <f t="shared" si="9"/>
        <v>0</v>
      </c>
      <c r="N37" s="102">
        <f t="shared" si="10"/>
        <v>5806.5</v>
      </c>
      <c r="O37" s="102">
        <f t="shared" si="11"/>
        <v>0</v>
      </c>
      <c r="P37" s="103">
        <f t="shared" si="12"/>
        <v>5806.5</v>
      </c>
    </row>
    <row r="38" spans="1:16" s="56" customFormat="1">
      <c r="A38" s="556">
        <v>0</v>
      </c>
      <c r="B38" s="516"/>
      <c r="C38" s="560" t="s">
        <v>1326</v>
      </c>
      <c r="D38" s="561" t="s">
        <v>723</v>
      </c>
      <c r="E38" s="562">
        <v>1</v>
      </c>
      <c r="F38" s="462"/>
      <c r="G38" s="463"/>
      <c r="H38" s="455"/>
      <c r="I38" s="464">
        <v>2131.5</v>
      </c>
      <c r="J38" s="464"/>
      <c r="K38" s="102">
        <f t="shared" si="7"/>
        <v>2131.5</v>
      </c>
      <c r="L38" s="50">
        <f t="shared" si="8"/>
        <v>0</v>
      </c>
      <c r="M38" s="102">
        <f t="shared" si="9"/>
        <v>0</v>
      </c>
      <c r="N38" s="102">
        <f t="shared" si="10"/>
        <v>2131.5</v>
      </c>
      <c r="O38" s="102">
        <f t="shared" si="11"/>
        <v>0</v>
      </c>
      <c r="P38" s="103">
        <f t="shared" si="12"/>
        <v>2131.5</v>
      </c>
    </row>
    <row r="39" spans="1:16" s="56" customFormat="1">
      <c r="A39" s="556">
        <v>0</v>
      </c>
      <c r="B39" s="516"/>
      <c r="C39" s="560" t="s">
        <v>1327</v>
      </c>
      <c r="D39" s="561" t="s">
        <v>723</v>
      </c>
      <c r="E39" s="562">
        <v>1</v>
      </c>
      <c r="F39" s="462"/>
      <c r="G39" s="463"/>
      <c r="H39" s="455"/>
      <c r="I39" s="464">
        <v>6441.75</v>
      </c>
      <c r="J39" s="464"/>
      <c r="K39" s="102">
        <f t="shared" si="7"/>
        <v>6441.75</v>
      </c>
      <c r="L39" s="50">
        <f t="shared" si="8"/>
        <v>0</v>
      </c>
      <c r="M39" s="102">
        <f t="shared" si="9"/>
        <v>0</v>
      </c>
      <c r="N39" s="102">
        <f t="shared" si="10"/>
        <v>6441.75</v>
      </c>
      <c r="O39" s="102">
        <f t="shared" si="11"/>
        <v>0</v>
      </c>
      <c r="P39" s="103">
        <f t="shared" si="12"/>
        <v>6441.75</v>
      </c>
    </row>
    <row r="40" spans="1:16" s="56" customFormat="1">
      <c r="A40" s="556">
        <v>0</v>
      </c>
      <c r="B40" s="516"/>
      <c r="C40" s="560" t="s">
        <v>1328</v>
      </c>
      <c r="D40" s="561" t="s">
        <v>723</v>
      </c>
      <c r="E40" s="562">
        <v>1</v>
      </c>
      <c r="F40" s="462"/>
      <c r="G40" s="463"/>
      <c r="H40" s="455"/>
      <c r="I40" s="464">
        <v>4158</v>
      </c>
      <c r="J40" s="464"/>
      <c r="K40" s="102">
        <f t="shared" si="7"/>
        <v>4158</v>
      </c>
      <c r="L40" s="50">
        <f t="shared" si="8"/>
        <v>0</v>
      </c>
      <c r="M40" s="102">
        <f t="shared" si="9"/>
        <v>0</v>
      </c>
      <c r="N40" s="102">
        <f t="shared" si="10"/>
        <v>4158</v>
      </c>
      <c r="O40" s="102">
        <f t="shared" si="11"/>
        <v>0</v>
      </c>
      <c r="P40" s="103">
        <f t="shared" si="12"/>
        <v>4158</v>
      </c>
    </row>
    <row r="41" spans="1:16" s="56" customFormat="1">
      <c r="A41" s="556">
        <v>0</v>
      </c>
      <c r="B41" s="516"/>
      <c r="C41" s="560" t="s">
        <v>1329</v>
      </c>
      <c r="D41" s="561" t="s">
        <v>723</v>
      </c>
      <c r="E41" s="562">
        <v>1</v>
      </c>
      <c r="F41" s="462"/>
      <c r="G41" s="463"/>
      <c r="H41" s="455"/>
      <c r="I41" s="464">
        <v>939.75</v>
      </c>
      <c r="J41" s="464"/>
      <c r="K41" s="102">
        <f t="shared" si="7"/>
        <v>939.75</v>
      </c>
      <c r="L41" s="50">
        <f t="shared" si="8"/>
        <v>0</v>
      </c>
      <c r="M41" s="102">
        <f t="shared" si="9"/>
        <v>0</v>
      </c>
      <c r="N41" s="102">
        <f t="shared" si="10"/>
        <v>939.75</v>
      </c>
      <c r="O41" s="102">
        <f t="shared" si="11"/>
        <v>0</v>
      </c>
      <c r="P41" s="103">
        <f t="shared" si="12"/>
        <v>939.75</v>
      </c>
    </row>
    <row r="42" spans="1:16" s="56" customFormat="1" ht="24.9">
      <c r="A42" s="556">
        <v>0</v>
      </c>
      <c r="B42" s="516"/>
      <c r="C42" s="560" t="s">
        <v>1313</v>
      </c>
      <c r="D42" s="561" t="s">
        <v>29</v>
      </c>
      <c r="E42" s="559">
        <f>E33</f>
        <v>94.5</v>
      </c>
      <c r="F42" s="462"/>
      <c r="G42" s="463"/>
      <c r="H42" s="455">
        <f t="shared" si="14"/>
        <v>0</v>
      </c>
      <c r="I42" s="464">
        <v>3.18</v>
      </c>
      <c r="J42" s="464"/>
      <c r="K42" s="102">
        <f t="shared" si="7"/>
        <v>3.18</v>
      </c>
      <c r="L42" s="50">
        <f t="shared" si="8"/>
        <v>0</v>
      </c>
      <c r="M42" s="102">
        <f t="shared" si="9"/>
        <v>0</v>
      </c>
      <c r="N42" s="102">
        <f t="shared" si="10"/>
        <v>300.51</v>
      </c>
      <c r="O42" s="102">
        <f t="shared" si="11"/>
        <v>0</v>
      </c>
      <c r="P42" s="103">
        <f t="shared" si="12"/>
        <v>300.51</v>
      </c>
    </row>
    <row r="43" spans="1:16" s="56" customFormat="1">
      <c r="A43" s="556">
        <v>6</v>
      </c>
      <c r="B43" s="516"/>
      <c r="C43" s="557" t="s">
        <v>1330</v>
      </c>
      <c r="D43" s="558" t="s">
        <v>29</v>
      </c>
      <c r="E43" s="559">
        <v>29.1</v>
      </c>
      <c r="F43" s="462">
        <v>3.1</v>
      </c>
      <c r="G43" s="463">
        <v>9.5</v>
      </c>
      <c r="H43" s="455">
        <f>ROUND(F43*G43,2)</f>
        <v>29.45</v>
      </c>
      <c r="I43" s="464">
        <v>0</v>
      </c>
      <c r="J43" s="464">
        <v>2.82</v>
      </c>
      <c r="K43" s="102">
        <f t="shared" si="7"/>
        <v>32.269999999999996</v>
      </c>
      <c r="L43" s="50">
        <f t="shared" si="8"/>
        <v>90.21</v>
      </c>
      <c r="M43" s="102">
        <f t="shared" si="9"/>
        <v>857</v>
      </c>
      <c r="N43" s="102">
        <f t="shared" si="10"/>
        <v>0</v>
      </c>
      <c r="O43" s="102">
        <f t="shared" si="11"/>
        <v>82.06</v>
      </c>
      <c r="P43" s="103">
        <f t="shared" si="12"/>
        <v>939.06</v>
      </c>
    </row>
    <row r="44" spans="1:16" s="56" customFormat="1">
      <c r="A44" s="556">
        <v>0</v>
      </c>
      <c r="B44" s="516"/>
      <c r="C44" s="560" t="s">
        <v>1331</v>
      </c>
      <c r="D44" s="561" t="s">
        <v>723</v>
      </c>
      <c r="E44" s="562">
        <v>1</v>
      </c>
      <c r="F44" s="462"/>
      <c r="G44" s="463"/>
      <c r="H44" s="455">
        <f>ROUND(F44*G44,2)</f>
        <v>0</v>
      </c>
      <c r="I44" s="464">
        <v>1029.5999999999999</v>
      </c>
      <c r="J44" s="464"/>
      <c r="K44" s="102">
        <f t="shared" si="7"/>
        <v>1029.5999999999999</v>
      </c>
      <c r="L44" s="50">
        <f t="shared" si="8"/>
        <v>0</v>
      </c>
      <c r="M44" s="102">
        <f t="shared" si="9"/>
        <v>0</v>
      </c>
      <c r="N44" s="102">
        <f t="shared" si="10"/>
        <v>1029.5999999999999</v>
      </c>
      <c r="O44" s="102">
        <f t="shared" si="11"/>
        <v>0</v>
      </c>
      <c r="P44" s="103">
        <f t="shared" si="12"/>
        <v>1029.5999999999999</v>
      </c>
    </row>
    <row r="45" spans="1:16" s="56" customFormat="1">
      <c r="A45" s="556">
        <v>0</v>
      </c>
      <c r="B45" s="516"/>
      <c r="C45" s="560" t="s">
        <v>1332</v>
      </c>
      <c r="D45" s="561" t="s">
        <v>723</v>
      </c>
      <c r="E45" s="562">
        <v>2</v>
      </c>
      <c r="F45" s="462"/>
      <c r="G45" s="463"/>
      <c r="H45" s="455">
        <f>ROUND(F45*G45,2)</f>
        <v>0</v>
      </c>
      <c r="I45" s="464">
        <v>790.40000000000009</v>
      </c>
      <c r="J45" s="464"/>
      <c r="K45" s="102">
        <f t="shared" si="7"/>
        <v>790.40000000000009</v>
      </c>
      <c r="L45" s="50">
        <f t="shared" si="8"/>
        <v>0</v>
      </c>
      <c r="M45" s="102">
        <f t="shared" si="9"/>
        <v>0</v>
      </c>
      <c r="N45" s="102">
        <f t="shared" si="10"/>
        <v>1580.8</v>
      </c>
      <c r="O45" s="102">
        <f t="shared" si="11"/>
        <v>0</v>
      </c>
      <c r="P45" s="103">
        <f t="shared" si="12"/>
        <v>1580.8</v>
      </c>
    </row>
    <row r="46" spans="1:16" s="56" customFormat="1">
      <c r="A46" s="556">
        <v>0</v>
      </c>
      <c r="B46" s="516"/>
      <c r="C46" s="560" t="s">
        <v>1333</v>
      </c>
      <c r="D46" s="561" t="s">
        <v>723</v>
      </c>
      <c r="E46" s="562">
        <v>1</v>
      </c>
      <c r="F46" s="462"/>
      <c r="G46" s="463"/>
      <c r="H46" s="455"/>
      <c r="I46" s="464">
        <v>712.8</v>
      </c>
      <c r="J46" s="464"/>
      <c r="K46" s="102">
        <f t="shared" si="7"/>
        <v>712.8</v>
      </c>
      <c r="L46" s="50">
        <f t="shared" si="8"/>
        <v>0</v>
      </c>
      <c r="M46" s="102">
        <f t="shared" si="9"/>
        <v>0</v>
      </c>
      <c r="N46" s="102">
        <f t="shared" si="10"/>
        <v>712.8</v>
      </c>
      <c r="O46" s="102">
        <f t="shared" si="11"/>
        <v>0</v>
      </c>
      <c r="P46" s="103">
        <f t="shared" si="12"/>
        <v>712.8</v>
      </c>
    </row>
    <row r="47" spans="1:16" s="56" customFormat="1">
      <c r="A47" s="556">
        <v>0</v>
      </c>
      <c r="B47" s="516"/>
      <c r="C47" s="560" t="s">
        <v>1334</v>
      </c>
      <c r="D47" s="561" t="s">
        <v>723</v>
      </c>
      <c r="E47" s="562">
        <v>2</v>
      </c>
      <c r="F47" s="462"/>
      <c r="G47" s="463"/>
      <c r="H47" s="455"/>
      <c r="I47" s="464">
        <v>889.2</v>
      </c>
      <c r="J47" s="464"/>
      <c r="K47" s="102">
        <f t="shared" si="7"/>
        <v>889.2</v>
      </c>
      <c r="L47" s="50">
        <f t="shared" si="8"/>
        <v>0</v>
      </c>
      <c r="M47" s="102">
        <f t="shared" si="9"/>
        <v>0</v>
      </c>
      <c r="N47" s="102">
        <f t="shared" si="10"/>
        <v>1778.4</v>
      </c>
      <c r="O47" s="102">
        <f t="shared" si="11"/>
        <v>0</v>
      </c>
      <c r="P47" s="103">
        <f t="shared" si="12"/>
        <v>1778.4</v>
      </c>
    </row>
    <row r="48" spans="1:16" s="56" customFormat="1">
      <c r="A48" s="556">
        <v>0</v>
      </c>
      <c r="B48" s="516"/>
      <c r="C48" s="560" t="s">
        <v>1335</v>
      </c>
      <c r="D48" s="561" t="s">
        <v>723</v>
      </c>
      <c r="E48" s="562">
        <v>1</v>
      </c>
      <c r="F48" s="462"/>
      <c r="G48" s="463"/>
      <c r="H48" s="455"/>
      <c r="I48" s="464">
        <v>705.6</v>
      </c>
      <c r="J48" s="464"/>
      <c r="K48" s="102">
        <f t="shared" si="7"/>
        <v>705.6</v>
      </c>
      <c r="L48" s="50">
        <f t="shared" si="8"/>
        <v>0</v>
      </c>
      <c r="M48" s="102">
        <f t="shared" si="9"/>
        <v>0</v>
      </c>
      <c r="N48" s="102">
        <f t="shared" si="10"/>
        <v>705.6</v>
      </c>
      <c r="O48" s="102">
        <f t="shared" si="11"/>
        <v>0</v>
      </c>
      <c r="P48" s="103">
        <f t="shared" si="12"/>
        <v>705.6</v>
      </c>
    </row>
    <row r="49" spans="1:16" s="56" customFormat="1" ht="24.9">
      <c r="A49" s="556">
        <v>0</v>
      </c>
      <c r="B49" s="516"/>
      <c r="C49" s="560" t="s">
        <v>1313</v>
      </c>
      <c r="D49" s="561" t="s">
        <v>29</v>
      </c>
      <c r="E49" s="559">
        <f>E43</f>
        <v>29.1</v>
      </c>
      <c r="F49" s="462">
        <v>0</v>
      </c>
      <c r="G49" s="463">
        <f t="shared" ref="G49" si="15">IF(F49&gt;0,5,0)</f>
        <v>0</v>
      </c>
      <c r="H49" s="455">
        <f>ROUND(F49*G49,2)</f>
        <v>0</v>
      </c>
      <c r="I49" s="464">
        <v>3.18</v>
      </c>
      <c r="J49" s="464">
        <v>0</v>
      </c>
      <c r="K49" s="102">
        <f t="shared" si="7"/>
        <v>3.18</v>
      </c>
      <c r="L49" s="50">
        <f t="shared" si="8"/>
        <v>0</v>
      </c>
      <c r="M49" s="102">
        <f t="shared" si="9"/>
        <v>0</v>
      </c>
      <c r="N49" s="102">
        <f t="shared" si="10"/>
        <v>92.54</v>
      </c>
      <c r="O49" s="102">
        <f t="shared" si="11"/>
        <v>0</v>
      </c>
      <c r="P49" s="103">
        <f t="shared" si="12"/>
        <v>92.54</v>
      </c>
    </row>
    <row r="50" spans="1:16" s="56" customFormat="1">
      <c r="A50" s="556">
        <v>7</v>
      </c>
      <c r="B50" s="516"/>
      <c r="C50" s="557" t="s">
        <v>1336</v>
      </c>
      <c r="D50" s="558" t="s">
        <v>29</v>
      </c>
      <c r="E50" s="559">
        <v>88.8</v>
      </c>
      <c r="F50" s="462">
        <v>3.1</v>
      </c>
      <c r="G50" s="463">
        <v>9.5</v>
      </c>
      <c r="H50" s="455">
        <f>ROUND(F50*G50,2)</f>
        <v>29.45</v>
      </c>
      <c r="I50" s="464">
        <v>0</v>
      </c>
      <c r="J50" s="464">
        <v>2.82</v>
      </c>
      <c r="K50" s="102">
        <f t="shared" si="7"/>
        <v>32.269999999999996</v>
      </c>
      <c r="L50" s="50">
        <f t="shared" si="8"/>
        <v>275.27999999999997</v>
      </c>
      <c r="M50" s="102">
        <f t="shared" si="9"/>
        <v>2615.16</v>
      </c>
      <c r="N50" s="102">
        <f t="shared" si="10"/>
        <v>0</v>
      </c>
      <c r="O50" s="102">
        <f t="shared" si="11"/>
        <v>250.42</v>
      </c>
      <c r="P50" s="103">
        <f t="shared" si="12"/>
        <v>2865.58</v>
      </c>
    </row>
    <row r="51" spans="1:16" s="56" customFormat="1">
      <c r="A51" s="556">
        <v>0</v>
      </c>
      <c r="B51" s="516"/>
      <c r="C51" s="560" t="s">
        <v>1337</v>
      </c>
      <c r="D51" s="561" t="s">
        <v>723</v>
      </c>
      <c r="E51" s="562">
        <v>1</v>
      </c>
      <c r="F51" s="462"/>
      <c r="G51" s="463"/>
      <c r="H51" s="455">
        <f>ROUND(F51*G51,2)</f>
        <v>0</v>
      </c>
      <c r="I51" s="464">
        <v>2753.0999999999995</v>
      </c>
      <c r="J51" s="464"/>
      <c r="K51" s="102">
        <f t="shared" si="7"/>
        <v>2753.0999999999995</v>
      </c>
      <c r="L51" s="50">
        <f t="shared" si="8"/>
        <v>0</v>
      </c>
      <c r="M51" s="102">
        <f t="shared" si="9"/>
        <v>0</v>
      </c>
      <c r="N51" s="102">
        <f t="shared" si="10"/>
        <v>2753.1</v>
      </c>
      <c r="O51" s="102">
        <f t="shared" si="11"/>
        <v>0</v>
      </c>
      <c r="P51" s="103">
        <f t="shared" si="12"/>
        <v>2753.1</v>
      </c>
    </row>
    <row r="52" spans="1:16" s="56" customFormat="1">
      <c r="A52" s="556">
        <v>0</v>
      </c>
      <c r="B52" s="516"/>
      <c r="C52" s="560" t="s">
        <v>1338</v>
      </c>
      <c r="D52" s="561" t="s">
        <v>723</v>
      </c>
      <c r="E52" s="562">
        <v>1</v>
      </c>
      <c r="F52" s="462"/>
      <c r="G52" s="463"/>
      <c r="H52" s="455">
        <f>ROUND(F52*G52,2)</f>
        <v>0</v>
      </c>
      <c r="I52" s="464">
        <v>2595.7799999999997</v>
      </c>
      <c r="J52" s="464"/>
      <c r="K52" s="102">
        <f t="shared" si="7"/>
        <v>2595.7799999999997</v>
      </c>
      <c r="L52" s="50">
        <f t="shared" si="8"/>
        <v>0</v>
      </c>
      <c r="M52" s="102">
        <f t="shared" si="9"/>
        <v>0</v>
      </c>
      <c r="N52" s="102">
        <f t="shared" si="10"/>
        <v>2595.7800000000002</v>
      </c>
      <c r="O52" s="102">
        <f t="shared" si="11"/>
        <v>0</v>
      </c>
      <c r="P52" s="103">
        <f t="shared" si="12"/>
        <v>2595.7800000000002</v>
      </c>
    </row>
    <row r="53" spans="1:16" s="56" customFormat="1">
      <c r="A53" s="556">
        <v>0</v>
      </c>
      <c r="B53" s="516"/>
      <c r="C53" s="560" t="s">
        <v>1339</v>
      </c>
      <c r="D53" s="561" t="s">
        <v>723</v>
      </c>
      <c r="E53" s="562">
        <v>2</v>
      </c>
      <c r="F53" s="462"/>
      <c r="G53" s="463"/>
      <c r="H53" s="455"/>
      <c r="I53" s="464">
        <v>1448.9999999999998</v>
      </c>
      <c r="J53" s="464"/>
      <c r="K53" s="102">
        <f t="shared" si="7"/>
        <v>1448.9999999999998</v>
      </c>
      <c r="L53" s="50">
        <f t="shared" si="8"/>
        <v>0</v>
      </c>
      <c r="M53" s="102">
        <f t="shared" si="9"/>
        <v>0</v>
      </c>
      <c r="N53" s="102">
        <f t="shared" si="10"/>
        <v>2898</v>
      </c>
      <c r="O53" s="102">
        <f t="shared" si="11"/>
        <v>0</v>
      </c>
      <c r="P53" s="103">
        <f t="shared" si="12"/>
        <v>2898</v>
      </c>
    </row>
    <row r="54" spans="1:16" s="56" customFormat="1">
      <c r="A54" s="556">
        <v>0</v>
      </c>
      <c r="B54" s="516"/>
      <c r="C54" s="560" t="s">
        <v>1340</v>
      </c>
      <c r="D54" s="561" t="s">
        <v>723</v>
      </c>
      <c r="E54" s="562">
        <v>7</v>
      </c>
      <c r="F54" s="462"/>
      <c r="G54" s="463"/>
      <c r="H54" s="455"/>
      <c r="I54" s="464">
        <v>1448.9999999999998</v>
      </c>
      <c r="J54" s="464"/>
      <c r="K54" s="102">
        <f t="shared" si="7"/>
        <v>1448.9999999999998</v>
      </c>
      <c r="L54" s="50">
        <f t="shared" si="8"/>
        <v>0</v>
      </c>
      <c r="M54" s="102">
        <f t="shared" si="9"/>
        <v>0</v>
      </c>
      <c r="N54" s="102">
        <f t="shared" si="10"/>
        <v>10143</v>
      </c>
      <c r="O54" s="102">
        <f t="shared" si="11"/>
        <v>0</v>
      </c>
      <c r="P54" s="103">
        <f t="shared" si="12"/>
        <v>10143</v>
      </c>
    </row>
    <row r="55" spans="1:16" s="56" customFormat="1" ht="24.9">
      <c r="A55" s="556">
        <v>0</v>
      </c>
      <c r="B55" s="516"/>
      <c r="C55" s="560" t="s">
        <v>1313</v>
      </c>
      <c r="D55" s="561" t="s">
        <v>29</v>
      </c>
      <c r="E55" s="559">
        <f>E50</f>
        <v>88.8</v>
      </c>
      <c r="F55" s="462">
        <v>0</v>
      </c>
      <c r="G55" s="463">
        <f t="shared" ref="G55" si="16">IF(F55&gt;0,5,0)</f>
        <v>0</v>
      </c>
      <c r="H55" s="455">
        <f>ROUND(F55*G55,2)</f>
        <v>0</v>
      </c>
      <c r="I55" s="464">
        <v>3.18</v>
      </c>
      <c r="J55" s="464">
        <v>0</v>
      </c>
      <c r="K55" s="102">
        <f t="shared" si="7"/>
        <v>3.18</v>
      </c>
      <c r="L55" s="50">
        <f t="shared" si="8"/>
        <v>0</v>
      </c>
      <c r="M55" s="102">
        <f t="shared" si="9"/>
        <v>0</v>
      </c>
      <c r="N55" s="102">
        <f t="shared" si="10"/>
        <v>282.38</v>
      </c>
      <c r="O55" s="102">
        <f t="shared" si="11"/>
        <v>0</v>
      </c>
      <c r="P55" s="103">
        <f t="shared" si="12"/>
        <v>282.38</v>
      </c>
    </row>
    <row r="56" spans="1:16" s="56" customFormat="1">
      <c r="A56" s="556">
        <v>8</v>
      </c>
      <c r="B56" s="516"/>
      <c r="C56" s="557" t="s">
        <v>1341</v>
      </c>
      <c r="D56" s="558" t="s">
        <v>29</v>
      </c>
      <c r="E56" s="559">
        <v>19.3</v>
      </c>
      <c r="F56" s="462">
        <v>3.1</v>
      </c>
      <c r="G56" s="463">
        <v>9.5</v>
      </c>
      <c r="H56" s="455">
        <f>ROUND(F56*G56,2)</f>
        <v>29.45</v>
      </c>
      <c r="I56" s="464">
        <v>0</v>
      </c>
      <c r="J56" s="464">
        <v>2.82</v>
      </c>
      <c r="K56" s="102">
        <f t="shared" si="7"/>
        <v>32.269999999999996</v>
      </c>
      <c r="L56" s="50">
        <f t="shared" si="8"/>
        <v>59.83</v>
      </c>
      <c r="M56" s="102">
        <f t="shared" si="9"/>
        <v>568.39</v>
      </c>
      <c r="N56" s="102">
        <f t="shared" si="10"/>
        <v>0</v>
      </c>
      <c r="O56" s="102">
        <f t="shared" si="11"/>
        <v>54.43</v>
      </c>
      <c r="P56" s="103">
        <f t="shared" si="12"/>
        <v>622.81999999999994</v>
      </c>
    </row>
    <row r="57" spans="1:16" s="56" customFormat="1">
      <c r="A57" s="556">
        <v>0</v>
      </c>
      <c r="B57" s="516"/>
      <c r="C57" s="560" t="s">
        <v>1342</v>
      </c>
      <c r="D57" s="561" t="s">
        <v>723</v>
      </c>
      <c r="E57" s="562">
        <v>1</v>
      </c>
      <c r="F57" s="462"/>
      <c r="G57" s="463"/>
      <c r="H57" s="455">
        <f>ROUND(F57*G57,2)</f>
        <v>0</v>
      </c>
      <c r="I57" s="464">
        <v>1842.75</v>
      </c>
      <c r="J57" s="464"/>
      <c r="K57" s="102">
        <f t="shared" si="7"/>
        <v>1842.75</v>
      </c>
      <c r="L57" s="50">
        <f t="shared" si="8"/>
        <v>0</v>
      </c>
      <c r="M57" s="102">
        <f t="shared" si="9"/>
        <v>0</v>
      </c>
      <c r="N57" s="102">
        <f t="shared" si="10"/>
        <v>1842.75</v>
      </c>
      <c r="O57" s="102">
        <f t="shared" si="11"/>
        <v>0</v>
      </c>
      <c r="P57" s="103">
        <f t="shared" si="12"/>
        <v>1842.75</v>
      </c>
    </row>
    <row r="58" spans="1:16" s="56" customFormat="1">
      <c r="A58" s="556">
        <v>0</v>
      </c>
      <c r="B58" s="516"/>
      <c r="C58" s="560" t="s">
        <v>1343</v>
      </c>
      <c r="D58" s="561" t="s">
        <v>723</v>
      </c>
      <c r="E58" s="562">
        <v>1</v>
      </c>
      <c r="F58" s="462"/>
      <c r="G58" s="463"/>
      <c r="H58" s="455">
        <f>ROUND(F58*G58,2)</f>
        <v>0</v>
      </c>
      <c r="I58" s="464">
        <v>1464.75</v>
      </c>
      <c r="J58" s="464"/>
      <c r="K58" s="102">
        <f t="shared" si="7"/>
        <v>1464.75</v>
      </c>
      <c r="L58" s="50">
        <f t="shared" si="8"/>
        <v>0</v>
      </c>
      <c r="M58" s="102">
        <f t="shared" si="9"/>
        <v>0</v>
      </c>
      <c r="N58" s="102">
        <f t="shared" si="10"/>
        <v>1464.75</v>
      </c>
      <c r="O58" s="102">
        <f t="shared" si="11"/>
        <v>0</v>
      </c>
      <c r="P58" s="103">
        <f t="shared" si="12"/>
        <v>1464.75</v>
      </c>
    </row>
    <row r="59" spans="1:16" s="56" customFormat="1">
      <c r="A59" s="556">
        <v>0</v>
      </c>
      <c r="B59" s="516"/>
      <c r="C59" s="560" t="s">
        <v>1344</v>
      </c>
      <c r="D59" s="561" t="s">
        <v>723</v>
      </c>
      <c r="E59" s="562">
        <v>4</v>
      </c>
      <c r="F59" s="462"/>
      <c r="G59" s="463"/>
      <c r="H59" s="455"/>
      <c r="I59" s="464">
        <v>1039.5</v>
      </c>
      <c r="J59" s="464"/>
      <c r="K59" s="102">
        <f t="shared" si="7"/>
        <v>1039.5</v>
      </c>
      <c r="L59" s="50">
        <f t="shared" si="8"/>
        <v>0</v>
      </c>
      <c r="M59" s="102">
        <f t="shared" si="9"/>
        <v>0</v>
      </c>
      <c r="N59" s="102">
        <f t="shared" si="10"/>
        <v>4158</v>
      </c>
      <c r="O59" s="102">
        <f t="shared" si="11"/>
        <v>0</v>
      </c>
      <c r="P59" s="103">
        <f t="shared" si="12"/>
        <v>4158</v>
      </c>
    </row>
    <row r="60" spans="1:16" s="56" customFormat="1">
      <c r="A60" s="556">
        <v>0</v>
      </c>
      <c r="B60" s="516"/>
      <c r="C60" s="560" t="s">
        <v>1345</v>
      </c>
      <c r="D60" s="561" t="s">
        <v>723</v>
      </c>
      <c r="E60" s="562">
        <v>1</v>
      </c>
      <c r="F60" s="462"/>
      <c r="G60" s="463"/>
      <c r="H60" s="455"/>
      <c r="I60" s="464">
        <v>1209.6000000000001</v>
      </c>
      <c r="J60" s="464"/>
      <c r="K60" s="102">
        <f t="shared" si="7"/>
        <v>1209.6000000000001</v>
      </c>
      <c r="L60" s="50">
        <f t="shared" si="8"/>
        <v>0</v>
      </c>
      <c r="M60" s="102">
        <f t="shared" si="9"/>
        <v>0</v>
      </c>
      <c r="N60" s="102">
        <f t="shared" si="10"/>
        <v>1209.5999999999999</v>
      </c>
      <c r="O60" s="102">
        <f t="shared" si="11"/>
        <v>0</v>
      </c>
      <c r="P60" s="103">
        <f t="shared" si="12"/>
        <v>1209.5999999999999</v>
      </c>
    </row>
    <row r="61" spans="1:16" s="56" customFormat="1" ht="24.9">
      <c r="A61" s="556">
        <v>0</v>
      </c>
      <c r="B61" s="516"/>
      <c r="C61" s="560" t="s">
        <v>1313</v>
      </c>
      <c r="D61" s="561" t="s">
        <v>29</v>
      </c>
      <c r="E61" s="559">
        <f>E56</f>
        <v>19.3</v>
      </c>
      <c r="F61" s="462">
        <v>0</v>
      </c>
      <c r="G61" s="463">
        <f t="shared" ref="G61" si="17">IF(F61&gt;0,5,0)</f>
        <v>0</v>
      </c>
      <c r="H61" s="455">
        <f>ROUND(F61*G61,2)</f>
        <v>0</v>
      </c>
      <c r="I61" s="464">
        <v>3.18</v>
      </c>
      <c r="J61" s="464">
        <v>0</v>
      </c>
      <c r="K61" s="102">
        <f t="shared" si="7"/>
        <v>3.18</v>
      </c>
      <c r="L61" s="50">
        <f t="shared" si="8"/>
        <v>0</v>
      </c>
      <c r="M61" s="102">
        <f t="shared" si="9"/>
        <v>0</v>
      </c>
      <c r="N61" s="102">
        <f t="shared" si="10"/>
        <v>61.37</v>
      </c>
      <c r="O61" s="102">
        <f t="shared" si="11"/>
        <v>0</v>
      </c>
      <c r="P61" s="103">
        <f t="shared" si="12"/>
        <v>61.37</v>
      </c>
    </row>
    <row r="62" spans="1:16" s="56" customFormat="1">
      <c r="A62" s="556">
        <v>9</v>
      </c>
      <c r="B62" s="516"/>
      <c r="C62" s="557" t="s">
        <v>1439</v>
      </c>
      <c r="D62" s="558" t="s">
        <v>29</v>
      </c>
      <c r="E62" s="559">
        <v>142.69999999999999</v>
      </c>
      <c r="F62" s="462">
        <v>3.1</v>
      </c>
      <c r="G62" s="463">
        <v>9.5</v>
      </c>
      <c r="H62" s="455">
        <f>ROUND(F62*G62,2)</f>
        <v>29.45</v>
      </c>
      <c r="I62" s="464">
        <v>0</v>
      </c>
      <c r="J62" s="464">
        <v>2.82</v>
      </c>
      <c r="K62" s="102">
        <f t="shared" si="7"/>
        <v>32.269999999999996</v>
      </c>
      <c r="L62" s="50">
        <f t="shared" si="8"/>
        <v>442.37</v>
      </c>
      <c r="M62" s="102">
        <f t="shared" si="9"/>
        <v>4202.5200000000004</v>
      </c>
      <c r="N62" s="102">
        <f t="shared" si="10"/>
        <v>0</v>
      </c>
      <c r="O62" s="102">
        <f t="shared" si="11"/>
        <v>402.41</v>
      </c>
      <c r="P62" s="103">
        <f t="shared" si="12"/>
        <v>4604.93</v>
      </c>
    </row>
    <row r="63" spans="1:16" s="56" customFormat="1">
      <c r="A63" s="556">
        <v>0</v>
      </c>
      <c r="B63" s="516"/>
      <c r="C63" s="560" t="s">
        <v>1346</v>
      </c>
      <c r="D63" s="561" t="s">
        <v>723</v>
      </c>
      <c r="E63" s="562">
        <v>1</v>
      </c>
      <c r="F63" s="462"/>
      <c r="G63" s="463"/>
      <c r="H63" s="455">
        <f>ROUND(F63*G63,2)</f>
        <v>0</v>
      </c>
      <c r="I63" s="464">
        <v>1310.3999999999999</v>
      </c>
      <c r="J63" s="464"/>
      <c r="K63" s="102">
        <f t="shared" si="7"/>
        <v>1310.3999999999999</v>
      </c>
      <c r="L63" s="50">
        <f t="shared" si="8"/>
        <v>0</v>
      </c>
      <c r="M63" s="102">
        <f t="shared" si="9"/>
        <v>0</v>
      </c>
      <c r="N63" s="102">
        <f t="shared" si="10"/>
        <v>1310.4000000000001</v>
      </c>
      <c r="O63" s="102">
        <f t="shared" si="11"/>
        <v>0</v>
      </c>
      <c r="P63" s="103">
        <f t="shared" si="12"/>
        <v>1310.4000000000001</v>
      </c>
    </row>
    <row r="64" spans="1:16" s="56" customFormat="1">
      <c r="A64" s="556">
        <v>0</v>
      </c>
      <c r="B64" s="516"/>
      <c r="C64" s="560" t="s">
        <v>1347</v>
      </c>
      <c r="D64" s="561" t="s">
        <v>723</v>
      </c>
      <c r="E64" s="562">
        <v>1</v>
      </c>
      <c r="F64" s="462"/>
      <c r="G64" s="463"/>
      <c r="H64" s="455">
        <f>ROUND(F64*G64,2)</f>
        <v>0</v>
      </c>
      <c r="I64" s="464">
        <v>1310.3999999999999</v>
      </c>
      <c r="J64" s="464"/>
      <c r="K64" s="102">
        <f t="shared" si="7"/>
        <v>1310.3999999999999</v>
      </c>
      <c r="L64" s="50">
        <f t="shared" si="8"/>
        <v>0</v>
      </c>
      <c r="M64" s="102">
        <f t="shared" si="9"/>
        <v>0</v>
      </c>
      <c r="N64" s="102">
        <f t="shared" si="10"/>
        <v>1310.4000000000001</v>
      </c>
      <c r="O64" s="102">
        <f t="shared" si="11"/>
        <v>0</v>
      </c>
      <c r="P64" s="103">
        <f t="shared" si="12"/>
        <v>1310.4000000000001</v>
      </c>
    </row>
    <row r="65" spans="1:16" s="56" customFormat="1">
      <c r="A65" s="556">
        <v>0</v>
      </c>
      <c r="B65" s="516"/>
      <c r="C65" s="560" t="s">
        <v>1348</v>
      </c>
      <c r="D65" s="561" t="s">
        <v>723</v>
      </c>
      <c r="E65" s="562">
        <v>1</v>
      </c>
      <c r="F65" s="462"/>
      <c r="G65" s="463"/>
      <c r="H65" s="455"/>
      <c r="I65" s="464">
        <v>1041.6000000000001</v>
      </c>
      <c r="J65" s="464"/>
      <c r="K65" s="102">
        <f t="shared" si="7"/>
        <v>1041.6000000000001</v>
      </c>
      <c r="L65" s="50">
        <f t="shared" si="8"/>
        <v>0</v>
      </c>
      <c r="M65" s="102">
        <f t="shared" si="9"/>
        <v>0</v>
      </c>
      <c r="N65" s="102">
        <f t="shared" si="10"/>
        <v>1041.5999999999999</v>
      </c>
      <c r="O65" s="102">
        <f t="shared" si="11"/>
        <v>0</v>
      </c>
      <c r="P65" s="103">
        <f t="shared" si="12"/>
        <v>1041.5999999999999</v>
      </c>
    </row>
    <row r="66" spans="1:16" s="56" customFormat="1">
      <c r="A66" s="556">
        <v>0</v>
      </c>
      <c r="B66" s="516"/>
      <c r="C66" s="560" t="s">
        <v>1349</v>
      </c>
      <c r="D66" s="561" t="s">
        <v>723</v>
      </c>
      <c r="E66" s="562">
        <v>4</v>
      </c>
      <c r="F66" s="462"/>
      <c r="G66" s="463"/>
      <c r="H66" s="455"/>
      <c r="I66" s="464">
        <v>658.56</v>
      </c>
      <c r="J66" s="464"/>
      <c r="K66" s="102">
        <f t="shared" si="7"/>
        <v>658.56</v>
      </c>
      <c r="L66" s="50">
        <f t="shared" si="8"/>
        <v>0</v>
      </c>
      <c r="M66" s="102">
        <f t="shared" si="9"/>
        <v>0</v>
      </c>
      <c r="N66" s="102">
        <f t="shared" si="10"/>
        <v>2634.24</v>
      </c>
      <c r="O66" s="102">
        <f t="shared" si="11"/>
        <v>0</v>
      </c>
      <c r="P66" s="103">
        <f t="shared" si="12"/>
        <v>2634.24</v>
      </c>
    </row>
    <row r="67" spans="1:16" s="56" customFormat="1">
      <c r="A67" s="556">
        <v>0</v>
      </c>
      <c r="B67" s="516"/>
      <c r="C67" s="560" t="s">
        <v>1350</v>
      </c>
      <c r="D67" s="561" t="s">
        <v>723</v>
      </c>
      <c r="E67" s="562">
        <v>6</v>
      </c>
      <c r="F67" s="462"/>
      <c r="G67" s="463"/>
      <c r="H67" s="455"/>
      <c r="I67" s="464">
        <v>725.76</v>
      </c>
      <c r="J67" s="464"/>
      <c r="K67" s="102">
        <f t="shared" si="7"/>
        <v>725.76</v>
      </c>
      <c r="L67" s="50">
        <f t="shared" si="8"/>
        <v>0</v>
      </c>
      <c r="M67" s="102">
        <f t="shared" si="9"/>
        <v>0</v>
      </c>
      <c r="N67" s="102">
        <f t="shared" si="10"/>
        <v>4354.5600000000004</v>
      </c>
      <c r="O67" s="102">
        <f t="shared" si="11"/>
        <v>0</v>
      </c>
      <c r="P67" s="103">
        <f t="shared" si="12"/>
        <v>4354.5600000000004</v>
      </c>
    </row>
    <row r="68" spans="1:16" s="56" customFormat="1">
      <c r="A68" s="556">
        <v>0</v>
      </c>
      <c r="B68" s="516"/>
      <c r="C68" s="560" t="s">
        <v>1351</v>
      </c>
      <c r="D68" s="561" t="s">
        <v>723</v>
      </c>
      <c r="E68" s="562">
        <v>1</v>
      </c>
      <c r="F68" s="462"/>
      <c r="G68" s="463"/>
      <c r="H68" s="455"/>
      <c r="I68" s="464">
        <v>1397.76</v>
      </c>
      <c r="J68" s="464"/>
      <c r="K68" s="102">
        <f t="shared" si="7"/>
        <v>1397.76</v>
      </c>
      <c r="L68" s="50">
        <f t="shared" si="8"/>
        <v>0</v>
      </c>
      <c r="M68" s="102">
        <f t="shared" si="9"/>
        <v>0</v>
      </c>
      <c r="N68" s="102">
        <f t="shared" si="10"/>
        <v>1397.76</v>
      </c>
      <c r="O68" s="102">
        <f t="shared" si="11"/>
        <v>0</v>
      </c>
      <c r="P68" s="103">
        <f t="shared" si="12"/>
        <v>1397.76</v>
      </c>
    </row>
    <row r="69" spans="1:16" s="56" customFormat="1">
      <c r="A69" s="556">
        <v>0</v>
      </c>
      <c r="B69" s="516"/>
      <c r="C69" s="560" t="s">
        <v>1352</v>
      </c>
      <c r="D69" s="561" t="s">
        <v>723</v>
      </c>
      <c r="E69" s="562">
        <v>3</v>
      </c>
      <c r="F69" s="462"/>
      <c r="G69" s="463"/>
      <c r="H69" s="455"/>
      <c r="I69" s="464">
        <v>1597.44</v>
      </c>
      <c r="J69" s="464"/>
      <c r="K69" s="102">
        <f t="shared" si="7"/>
        <v>1597.44</v>
      </c>
      <c r="L69" s="50">
        <f t="shared" si="8"/>
        <v>0</v>
      </c>
      <c r="M69" s="102">
        <f t="shared" si="9"/>
        <v>0</v>
      </c>
      <c r="N69" s="102">
        <f t="shared" si="10"/>
        <v>4792.32</v>
      </c>
      <c r="O69" s="102">
        <f t="shared" si="11"/>
        <v>0</v>
      </c>
      <c r="P69" s="103">
        <f t="shared" si="12"/>
        <v>4792.32</v>
      </c>
    </row>
    <row r="70" spans="1:16" s="56" customFormat="1">
      <c r="A70" s="556">
        <v>0</v>
      </c>
      <c r="B70" s="516"/>
      <c r="C70" s="560" t="s">
        <v>1353</v>
      </c>
      <c r="D70" s="561" t="s">
        <v>723</v>
      </c>
      <c r="E70" s="562">
        <v>1</v>
      </c>
      <c r="F70" s="462"/>
      <c r="G70" s="463"/>
      <c r="H70" s="455"/>
      <c r="I70" s="464">
        <v>1597.44</v>
      </c>
      <c r="J70" s="464"/>
      <c r="K70" s="102">
        <f t="shared" si="7"/>
        <v>1597.44</v>
      </c>
      <c r="L70" s="50">
        <f t="shared" si="8"/>
        <v>0</v>
      </c>
      <c r="M70" s="102">
        <f t="shared" si="9"/>
        <v>0</v>
      </c>
      <c r="N70" s="102">
        <f t="shared" si="10"/>
        <v>1597.44</v>
      </c>
      <c r="O70" s="102">
        <f t="shared" si="11"/>
        <v>0</v>
      </c>
      <c r="P70" s="103">
        <f t="shared" si="12"/>
        <v>1597.44</v>
      </c>
    </row>
    <row r="71" spans="1:16" s="56" customFormat="1">
      <c r="A71" s="556">
        <v>0</v>
      </c>
      <c r="B71" s="516"/>
      <c r="C71" s="560" t="s">
        <v>1354</v>
      </c>
      <c r="D71" s="561" t="s">
        <v>723</v>
      </c>
      <c r="E71" s="562">
        <v>1</v>
      </c>
      <c r="F71" s="462"/>
      <c r="G71" s="463"/>
      <c r="H71" s="455"/>
      <c r="I71" s="464">
        <v>2073.6000000000004</v>
      </c>
      <c r="J71" s="464"/>
      <c r="K71" s="102">
        <f t="shared" si="7"/>
        <v>2073.6000000000004</v>
      </c>
      <c r="L71" s="50">
        <f t="shared" si="8"/>
        <v>0</v>
      </c>
      <c r="M71" s="102">
        <f t="shared" si="9"/>
        <v>0</v>
      </c>
      <c r="N71" s="102">
        <f t="shared" si="10"/>
        <v>2073.6</v>
      </c>
      <c r="O71" s="102">
        <f t="shared" si="11"/>
        <v>0</v>
      </c>
      <c r="P71" s="103">
        <f t="shared" si="12"/>
        <v>2073.6</v>
      </c>
    </row>
    <row r="72" spans="1:16" s="56" customFormat="1">
      <c r="A72" s="556">
        <v>0</v>
      </c>
      <c r="B72" s="516"/>
      <c r="C72" s="560" t="s">
        <v>1355</v>
      </c>
      <c r="D72" s="561" t="s">
        <v>723</v>
      </c>
      <c r="E72" s="562">
        <v>2</v>
      </c>
      <c r="F72" s="462"/>
      <c r="G72" s="463"/>
      <c r="H72" s="455"/>
      <c r="I72" s="464">
        <v>408.24</v>
      </c>
      <c r="J72" s="464"/>
      <c r="K72" s="102">
        <f t="shared" si="7"/>
        <v>408.24</v>
      </c>
      <c r="L72" s="50">
        <f t="shared" si="8"/>
        <v>0</v>
      </c>
      <c r="M72" s="102">
        <f t="shared" si="9"/>
        <v>0</v>
      </c>
      <c r="N72" s="102">
        <f t="shared" si="10"/>
        <v>816.48</v>
      </c>
      <c r="O72" s="102">
        <f t="shared" si="11"/>
        <v>0</v>
      </c>
      <c r="P72" s="103">
        <f t="shared" si="12"/>
        <v>816.48</v>
      </c>
    </row>
    <row r="73" spans="1:16" s="56" customFormat="1">
      <c r="A73" s="556">
        <v>0</v>
      </c>
      <c r="B73" s="516"/>
      <c r="C73" s="560" t="s">
        <v>1356</v>
      </c>
      <c r="D73" s="561" t="s">
        <v>723</v>
      </c>
      <c r="E73" s="562">
        <v>3</v>
      </c>
      <c r="F73" s="462"/>
      <c r="G73" s="463"/>
      <c r="H73" s="455"/>
      <c r="I73" s="464">
        <v>408.24</v>
      </c>
      <c r="J73" s="464"/>
      <c r="K73" s="102">
        <f t="shared" si="7"/>
        <v>408.24</v>
      </c>
      <c r="L73" s="50">
        <f t="shared" si="8"/>
        <v>0</v>
      </c>
      <c r="M73" s="102">
        <f t="shared" si="9"/>
        <v>0</v>
      </c>
      <c r="N73" s="102">
        <f t="shared" si="10"/>
        <v>1224.72</v>
      </c>
      <c r="O73" s="102">
        <f t="shared" si="11"/>
        <v>0</v>
      </c>
      <c r="P73" s="103">
        <f t="shared" si="12"/>
        <v>1224.72</v>
      </c>
    </row>
    <row r="74" spans="1:16" s="56" customFormat="1">
      <c r="A74" s="556">
        <v>0</v>
      </c>
      <c r="B74" s="516"/>
      <c r="C74" s="560" t="s">
        <v>1357</v>
      </c>
      <c r="D74" s="561" t="s">
        <v>723</v>
      </c>
      <c r="E74" s="562">
        <v>2</v>
      </c>
      <c r="F74" s="462"/>
      <c r="G74" s="463"/>
      <c r="H74" s="455"/>
      <c r="I74" s="464">
        <v>408.24</v>
      </c>
      <c r="J74" s="464"/>
      <c r="K74" s="102">
        <f t="shared" si="7"/>
        <v>408.24</v>
      </c>
      <c r="L74" s="50">
        <f t="shared" si="8"/>
        <v>0</v>
      </c>
      <c r="M74" s="102">
        <f t="shared" si="9"/>
        <v>0</v>
      </c>
      <c r="N74" s="102">
        <f t="shared" si="10"/>
        <v>816.48</v>
      </c>
      <c r="O74" s="102">
        <f t="shared" si="11"/>
        <v>0</v>
      </c>
      <c r="P74" s="103">
        <f t="shared" si="12"/>
        <v>816.48</v>
      </c>
    </row>
    <row r="75" spans="1:16" s="56" customFormat="1">
      <c r="A75" s="556">
        <v>0</v>
      </c>
      <c r="B75" s="516"/>
      <c r="C75" s="560" t="s">
        <v>1358</v>
      </c>
      <c r="D75" s="561" t="s">
        <v>723</v>
      </c>
      <c r="E75" s="562">
        <v>8</v>
      </c>
      <c r="F75" s="462"/>
      <c r="G75" s="463"/>
      <c r="H75" s="455"/>
      <c r="I75" s="464">
        <v>332.64</v>
      </c>
      <c r="J75" s="464"/>
      <c r="K75" s="102">
        <f t="shared" si="7"/>
        <v>332.64</v>
      </c>
      <c r="L75" s="50">
        <f t="shared" si="8"/>
        <v>0</v>
      </c>
      <c r="M75" s="102">
        <f t="shared" si="9"/>
        <v>0</v>
      </c>
      <c r="N75" s="102">
        <f t="shared" si="10"/>
        <v>2661.12</v>
      </c>
      <c r="O75" s="102">
        <f t="shared" si="11"/>
        <v>0</v>
      </c>
      <c r="P75" s="103">
        <f t="shared" si="12"/>
        <v>2661.12</v>
      </c>
    </row>
    <row r="76" spans="1:16" s="56" customFormat="1">
      <c r="A76" s="556">
        <v>0</v>
      </c>
      <c r="B76" s="516"/>
      <c r="C76" s="560" t="s">
        <v>1359</v>
      </c>
      <c r="D76" s="561" t="s">
        <v>723</v>
      </c>
      <c r="E76" s="562">
        <v>1</v>
      </c>
      <c r="F76" s="462"/>
      <c r="G76" s="463"/>
      <c r="H76" s="455"/>
      <c r="I76" s="464">
        <v>408.24</v>
      </c>
      <c r="J76" s="464"/>
      <c r="K76" s="102">
        <f t="shared" si="7"/>
        <v>408.24</v>
      </c>
      <c r="L76" s="50">
        <f t="shared" si="8"/>
        <v>0</v>
      </c>
      <c r="M76" s="102">
        <f t="shared" si="9"/>
        <v>0</v>
      </c>
      <c r="N76" s="102">
        <f t="shared" si="10"/>
        <v>408.24</v>
      </c>
      <c r="O76" s="102">
        <f t="shared" si="11"/>
        <v>0</v>
      </c>
      <c r="P76" s="103">
        <f t="shared" si="12"/>
        <v>408.24</v>
      </c>
    </row>
    <row r="77" spans="1:16" s="56" customFormat="1">
      <c r="A77" s="556">
        <v>0</v>
      </c>
      <c r="B77" s="516"/>
      <c r="C77" s="560" t="s">
        <v>1360</v>
      </c>
      <c r="D77" s="561" t="s">
        <v>723</v>
      </c>
      <c r="E77" s="562">
        <v>4</v>
      </c>
      <c r="F77" s="462"/>
      <c r="G77" s="463"/>
      <c r="H77" s="455"/>
      <c r="I77" s="464">
        <v>332.64</v>
      </c>
      <c r="J77" s="464"/>
      <c r="K77" s="102">
        <f t="shared" si="7"/>
        <v>332.64</v>
      </c>
      <c r="L77" s="50">
        <f t="shared" si="8"/>
        <v>0</v>
      </c>
      <c r="M77" s="102">
        <f t="shared" si="9"/>
        <v>0</v>
      </c>
      <c r="N77" s="102">
        <f t="shared" si="10"/>
        <v>1330.56</v>
      </c>
      <c r="O77" s="102">
        <f t="shared" si="11"/>
        <v>0</v>
      </c>
      <c r="P77" s="103">
        <f t="shared" si="12"/>
        <v>1330.56</v>
      </c>
    </row>
    <row r="78" spans="1:16" s="56" customFormat="1">
      <c r="A78" s="556">
        <v>0</v>
      </c>
      <c r="B78" s="516"/>
      <c r="C78" s="560" t="s">
        <v>1361</v>
      </c>
      <c r="D78" s="561" t="s">
        <v>723</v>
      </c>
      <c r="E78" s="562">
        <v>1</v>
      </c>
      <c r="F78" s="462"/>
      <c r="G78" s="463"/>
      <c r="H78" s="455"/>
      <c r="I78" s="464">
        <v>408.24</v>
      </c>
      <c r="J78" s="464"/>
      <c r="K78" s="102">
        <f t="shared" si="7"/>
        <v>408.24</v>
      </c>
      <c r="L78" s="50">
        <f t="shared" si="8"/>
        <v>0</v>
      </c>
      <c r="M78" s="102">
        <f t="shared" si="9"/>
        <v>0</v>
      </c>
      <c r="N78" s="102">
        <f t="shared" si="10"/>
        <v>408.24</v>
      </c>
      <c r="O78" s="102">
        <f t="shared" si="11"/>
        <v>0</v>
      </c>
      <c r="P78" s="103">
        <f t="shared" si="12"/>
        <v>408.24</v>
      </c>
    </row>
    <row r="79" spans="1:16" s="56" customFormat="1">
      <c r="A79" s="556">
        <v>0</v>
      </c>
      <c r="B79" s="516"/>
      <c r="C79" s="560" t="s">
        <v>1362</v>
      </c>
      <c r="D79" s="561" t="s">
        <v>723</v>
      </c>
      <c r="E79" s="562">
        <v>1</v>
      </c>
      <c r="F79" s="462"/>
      <c r="G79" s="463"/>
      <c r="H79" s="455"/>
      <c r="I79" s="464">
        <v>408.24</v>
      </c>
      <c r="J79" s="464"/>
      <c r="K79" s="102">
        <f t="shared" ref="K79:K91" si="18">SUM(H79:J79)</f>
        <v>408.24</v>
      </c>
      <c r="L79" s="50">
        <f t="shared" ref="L79:L91" si="19">ROUND(F79*E79,2)</f>
        <v>0</v>
      </c>
      <c r="M79" s="102">
        <f t="shared" ref="M79:M91" si="20">ROUND(H79*E79,2)</f>
        <v>0</v>
      </c>
      <c r="N79" s="102">
        <f t="shared" ref="N79:N91" si="21">ROUND(I79*E79,2)</f>
        <v>408.24</v>
      </c>
      <c r="O79" s="102">
        <f t="shared" ref="O79:O91" si="22">ROUND(J79*E79,2)</f>
        <v>0</v>
      </c>
      <c r="P79" s="103">
        <f t="shared" ref="P79:P91" si="23">SUM(M79:O79)</f>
        <v>408.24</v>
      </c>
    </row>
    <row r="80" spans="1:16" s="56" customFormat="1">
      <c r="A80" s="556">
        <v>0</v>
      </c>
      <c r="B80" s="516"/>
      <c r="C80" s="560" t="s">
        <v>1363</v>
      </c>
      <c r="D80" s="561" t="s">
        <v>723</v>
      </c>
      <c r="E80" s="562">
        <v>2</v>
      </c>
      <c r="F80" s="462"/>
      <c r="G80" s="463"/>
      <c r="H80" s="455"/>
      <c r="I80" s="464">
        <v>408.24</v>
      </c>
      <c r="J80" s="464"/>
      <c r="K80" s="102">
        <f t="shared" si="18"/>
        <v>408.24</v>
      </c>
      <c r="L80" s="50">
        <f t="shared" si="19"/>
        <v>0</v>
      </c>
      <c r="M80" s="102">
        <f t="shared" si="20"/>
        <v>0</v>
      </c>
      <c r="N80" s="102">
        <f t="shared" si="21"/>
        <v>816.48</v>
      </c>
      <c r="O80" s="102">
        <f t="shared" si="22"/>
        <v>0</v>
      </c>
      <c r="P80" s="103">
        <f t="shared" si="23"/>
        <v>816.48</v>
      </c>
    </row>
    <row r="81" spans="1:16" s="56" customFormat="1">
      <c r="A81" s="556">
        <v>0</v>
      </c>
      <c r="B81" s="516"/>
      <c r="C81" s="560" t="s">
        <v>1364</v>
      </c>
      <c r="D81" s="561" t="s">
        <v>723</v>
      </c>
      <c r="E81" s="562">
        <v>2</v>
      </c>
      <c r="F81" s="462"/>
      <c r="G81" s="463"/>
      <c r="H81" s="455"/>
      <c r="I81" s="464">
        <v>370.44</v>
      </c>
      <c r="J81" s="464"/>
      <c r="K81" s="102">
        <f t="shared" si="18"/>
        <v>370.44</v>
      </c>
      <c r="L81" s="50">
        <f t="shared" si="19"/>
        <v>0</v>
      </c>
      <c r="M81" s="102">
        <f t="shared" si="20"/>
        <v>0</v>
      </c>
      <c r="N81" s="102">
        <f t="shared" si="21"/>
        <v>740.88</v>
      </c>
      <c r="O81" s="102">
        <f t="shared" si="22"/>
        <v>0</v>
      </c>
      <c r="P81" s="103">
        <f t="shared" si="23"/>
        <v>740.88</v>
      </c>
    </row>
    <row r="82" spans="1:16" s="56" customFormat="1">
      <c r="A82" s="556">
        <v>0</v>
      </c>
      <c r="B82" s="516"/>
      <c r="C82" s="560" t="s">
        <v>1365</v>
      </c>
      <c r="D82" s="561" t="s">
        <v>723</v>
      </c>
      <c r="E82" s="562">
        <v>1</v>
      </c>
      <c r="F82" s="462"/>
      <c r="G82" s="463"/>
      <c r="H82" s="455"/>
      <c r="I82" s="464">
        <v>408.24</v>
      </c>
      <c r="J82" s="464"/>
      <c r="K82" s="102">
        <f t="shared" si="18"/>
        <v>408.24</v>
      </c>
      <c r="L82" s="50">
        <f t="shared" si="19"/>
        <v>0</v>
      </c>
      <c r="M82" s="102">
        <f t="shared" si="20"/>
        <v>0</v>
      </c>
      <c r="N82" s="102">
        <f t="shared" si="21"/>
        <v>408.24</v>
      </c>
      <c r="O82" s="102">
        <f t="shared" si="22"/>
        <v>0</v>
      </c>
      <c r="P82" s="103">
        <f t="shared" si="23"/>
        <v>408.24</v>
      </c>
    </row>
    <row r="83" spans="1:16" s="56" customFormat="1">
      <c r="A83" s="556">
        <v>0</v>
      </c>
      <c r="B83" s="516"/>
      <c r="C83" s="560" t="s">
        <v>1366</v>
      </c>
      <c r="D83" s="561" t="s">
        <v>723</v>
      </c>
      <c r="E83" s="562">
        <v>4</v>
      </c>
      <c r="F83" s="462"/>
      <c r="G83" s="463"/>
      <c r="H83" s="455"/>
      <c r="I83" s="464">
        <v>408.24</v>
      </c>
      <c r="J83" s="464"/>
      <c r="K83" s="102">
        <f t="shared" si="18"/>
        <v>408.24</v>
      </c>
      <c r="L83" s="50">
        <f t="shared" si="19"/>
        <v>0</v>
      </c>
      <c r="M83" s="102">
        <f t="shared" si="20"/>
        <v>0</v>
      </c>
      <c r="N83" s="102">
        <f t="shared" si="21"/>
        <v>1632.96</v>
      </c>
      <c r="O83" s="102">
        <f t="shared" si="22"/>
        <v>0</v>
      </c>
      <c r="P83" s="103">
        <f t="shared" si="23"/>
        <v>1632.96</v>
      </c>
    </row>
    <row r="84" spans="1:16" s="56" customFormat="1">
      <c r="A84" s="556">
        <v>0</v>
      </c>
      <c r="B84" s="516"/>
      <c r="C84" s="560" t="s">
        <v>1367</v>
      </c>
      <c r="D84" s="561" t="s">
        <v>723</v>
      </c>
      <c r="E84" s="562">
        <v>3</v>
      </c>
      <c r="F84" s="462"/>
      <c r="G84" s="463"/>
      <c r="H84" s="455"/>
      <c r="I84" s="464">
        <v>294.84000000000003</v>
      </c>
      <c r="J84" s="464"/>
      <c r="K84" s="102">
        <f t="shared" si="18"/>
        <v>294.84000000000003</v>
      </c>
      <c r="L84" s="50">
        <f t="shared" si="19"/>
        <v>0</v>
      </c>
      <c r="M84" s="102">
        <f t="shared" si="20"/>
        <v>0</v>
      </c>
      <c r="N84" s="102">
        <f t="shared" si="21"/>
        <v>884.52</v>
      </c>
      <c r="O84" s="102">
        <f t="shared" si="22"/>
        <v>0</v>
      </c>
      <c r="P84" s="103">
        <f t="shared" si="23"/>
        <v>884.52</v>
      </c>
    </row>
    <row r="85" spans="1:16" s="56" customFormat="1">
      <c r="A85" s="556">
        <v>0</v>
      </c>
      <c r="B85" s="516"/>
      <c r="C85" s="560" t="s">
        <v>1368</v>
      </c>
      <c r="D85" s="561" t="s">
        <v>723</v>
      </c>
      <c r="E85" s="562">
        <v>3</v>
      </c>
      <c r="F85" s="462"/>
      <c r="G85" s="463"/>
      <c r="H85" s="455"/>
      <c r="I85" s="464">
        <v>408.24</v>
      </c>
      <c r="J85" s="464"/>
      <c r="K85" s="102">
        <f t="shared" si="18"/>
        <v>408.24</v>
      </c>
      <c r="L85" s="50">
        <f t="shared" si="19"/>
        <v>0</v>
      </c>
      <c r="M85" s="102">
        <f t="shared" si="20"/>
        <v>0</v>
      </c>
      <c r="N85" s="102">
        <f t="shared" si="21"/>
        <v>1224.72</v>
      </c>
      <c r="O85" s="102">
        <f t="shared" si="22"/>
        <v>0</v>
      </c>
      <c r="P85" s="103">
        <f t="shared" si="23"/>
        <v>1224.72</v>
      </c>
    </row>
    <row r="86" spans="1:16" s="56" customFormat="1">
      <c r="A86" s="556">
        <v>0</v>
      </c>
      <c r="B86" s="516"/>
      <c r="C86" s="560" t="s">
        <v>1369</v>
      </c>
      <c r="D86" s="561" t="s">
        <v>723</v>
      </c>
      <c r="E86" s="562">
        <v>1</v>
      </c>
      <c r="F86" s="462"/>
      <c r="G86" s="463"/>
      <c r="H86" s="455"/>
      <c r="I86" s="464">
        <v>940.80000000000007</v>
      </c>
      <c r="J86" s="464"/>
      <c r="K86" s="102">
        <f t="shared" si="18"/>
        <v>940.80000000000007</v>
      </c>
      <c r="L86" s="50">
        <f t="shared" si="19"/>
        <v>0</v>
      </c>
      <c r="M86" s="102">
        <f t="shared" si="20"/>
        <v>0</v>
      </c>
      <c r="N86" s="102">
        <f t="shared" si="21"/>
        <v>940.8</v>
      </c>
      <c r="O86" s="102">
        <f t="shared" si="22"/>
        <v>0</v>
      </c>
      <c r="P86" s="103">
        <f t="shared" si="23"/>
        <v>940.8</v>
      </c>
    </row>
    <row r="87" spans="1:16" s="56" customFormat="1">
      <c r="A87" s="556">
        <v>0</v>
      </c>
      <c r="B87" s="516"/>
      <c r="C87" s="560" t="s">
        <v>1370</v>
      </c>
      <c r="D87" s="561" t="s">
        <v>723</v>
      </c>
      <c r="E87" s="562">
        <v>1</v>
      </c>
      <c r="F87" s="462"/>
      <c r="G87" s="463"/>
      <c r="H87" s="455"/>
      <c r="I87" s="464">
        <v>569.79999999999995</v>
      </c>
      <c r="J87" s="464"/>
      <c r="K87" s="102">
        <f t="shared" si="18"/>
        <v>569.79999999999995</v>
      </c>
      <c r="L87" s="50">
        <f t="shared" si="19"/>
        <v>0</v>
      </c>
      <c r="M87" s="102">
        <f t="shared" si="20"/>
        <v>0</v>
      </c>
      <c r="N87" s="102">
        <f t="shared" si="21"/>
        <v>569.79999999999995</v>
      </c>
      <c r="O87" s="102">
        <f t="shared" si="22"/>
        <v>0</v>
      </c>
      <c r="P87" s="103">
        <f t="shared" si="23"/>
        <v>569.79999999999995</v>
      </c>
    </row>
    <row r="88" spans="1:16" s="56" customFormat="1" ht="24.9">
      <c r="A88" s="556">
        <v>0</v>
      </c>
      <c r="B88" s="516"/>
      <c r="C88" s="560" t="s">
        <v>1313</v>
      </c>
      <c r="D88" s="561" t="s">
        <v>29</v>
      </c>
      <c r="E88" s="559">
        <f>E62</f>
        <v>142.69999999999999</v>
      </c>
      <c r="F88" s="462">
        <v>0</v>
      </c>
      <c r="G88" s="463">
        <f t="shared" ref="G88" si="24">IF(F88&gt;0,5,0)</f>
        <v>0</v>
      </c>
      <c r="H88" s="455">
        <f>ROUND(F88*G88,2)</f>
        <v>0</v>
      </c>
      <c r="I88" s="464">
        <v>3.18</v>
      </c>
      <c r="J88" s="464">
        <v>0</v>
      </c>
      <c r="K88" s="102">
        <f t="shared" si="18"/>
        <v>3.18</v>
      </c>
      <c r="L88" s="50">
        <f t="shared" si="19"/>
        <v>0</v>
      </c>
      <c r="M88" s="102">
        <f t="shared" si="20"/>
        <v>0</v>
      </c>
      <c r="N88" s="102">
        <f t="shared" si="21"/>
        <v>453.79</v>
      </c>
      <c r="O88" s="102">
        <f t="shared" si="22"/>
        <v>0</v>
      </c>
      <c r="P88" s="103">
        <f t="shared" si="23"/>
        <v>453.79</v>
      </c>
    </row>
    <row r="89" spans="1:16" s="56" customFormat="1">
      <c r="A89" s="556">
        <v>10</v>
      </c>
      <c r="B89" s="516"/>
      <c r="C89" s="557" t="s">
        <v>1440</v>
      </c>
      <c r="D89" s="558" t="s">
        <v>723</v>
      </c>
      <c r="E89" s="559">
        <v>1</v>
      </c>
      <c r="F89" s="462">
        <v>21</v>
      </c>
      <c r="G89" s="463">
        <v>9.5</v>
      </c>
      <c r="H89" s="455">
        <f>ROUND(F89*G89,2)</f>
        <v>199.5</v>
      </c>
      <c r="I89" s="464">
        <v>1459</v>
      </c>
      <c r="J89" s="464">
        <v>14</v>
      </c>
      <c r="K89" s="102">
        <f t="shared" si="18"/>
        <v>1672.5</v>
      </c>
      <c r="L89" s="50">
        <f t="shared" si="19"/>
        <v>21</v>
      </c>
      <c r="M89" s="102">
        <f t="shared" si="20"/>
        <v>199.5</v>
      </c>
      <c r="N89" s="102">
        <f t="shared" si="21"/>
        <v>1459</v>
      </c>
      <c r="O89" s="102">
        <f t="shared" si="22"/>
        <v>14</v>
      </c>
      <c r="P89" s="103">
        <f t="shared" si="23"/>
        <v>1672.5</v>
      </c>
    </row>
    <row r="90" spans="1:16" s="56" customFormat="1">
      <c r="A90" s="822">
        <v>11</v>
      </c>
      <c r="B90" s="823"/>
      <c r="C90" s="824" t="s">
        <v>1749</v>
      </c>
      <c r="D90" s="825" t="s">
        <v>111</v>
      </c>
      <c r="E90" s="826">
        <v>140</v>
      </c>
      <c r="F90" s="462">
        <v>0.16</v>
      </c>
      <c r="G90" s="463">
        <v>9.5</v>
      </c>
      <c r="H90" s="455">
        <f t="shared" ref="H90" si="25">ROUND(F90*G90,2)</f>
        <v>1.52</v>
      </c>
      <c r="I90" s="464">
        <v>3.2</v>
      </c>
      <c r="J90" s="464">
        <v>0.04</v>
      </c>
      <c r="K90" s="102">
        <f t="shared" ref="K90" si="26">SUM(H90:J90)</f>
        <v>4.7600000000000007</v>
      </c>
      <c r="L90" s="50">
        <f t="shared" ref="L90" si="27">ROUND(F90*E90,2)</f>
        <v>22.4</v>
      </c>
      <c r="M90" s="102">
        <f t="shared" ref="M90" si="28">ROUND(H90*E90,2)</f>
        <v>212.8</v>
      </c>
      <c r="N90" s="102">
        <f t="shared" ref="N90" si="29">ROUND(I90*E90,2)</f>
        <v>448</v>
      </c>
      <c r="O90" s="102">
        <f t="shared" ref="O90" si="30">ROUND(J90*E90,2)</f>
        <v>5.6</v>
      </c>
      <c r="P90" s="103">
        <f t="shared" ref="P90" si="31">SUM(M90:O90)</f>
        <v>666.4</v>
      </c>
    </row>
    <row r="91" spans="1:16" s="56" customFormat="1" ht="24.9">
      <c r="A91" s="474">
        <v>12</v>
      </c>
      <c r="B91" s="499"/>
      <c r="C91" s="490" t="s">
        <v>1371</v>
      </c>
      <c r="D91" s="486" t="s">
        <v>111</v>
      </c>
      <c r="E91" s="487">
        <v>552</v>
      </c>
      <c r="F91" s="462">
        <v>0.16</v>
      </c>
      <c r="G91" s="463">
        <v>9.5</v>
      </c>
      <c r="H91" s="455">
        <f t="shared" ref="H91" si="32">ROUND(F91*G91,2)</f>
        <v>1.52</v>
      </c>
      <c r="I91" s="464">
        <v>2.75</v>
      </c>
      <c r="J91" s="464">
        <v>0.04</v>
      </c>
      <c r="K91" s="102">
        <f t="shared" si="18"/>
        <v>4.3099999999999996</v>
      </c>
      <c r="L91" s="50">
        <f t="shared" si="19"/>
        <v>88.32</v>
      </c>
      <c r="M91" s="102">
        <f t="shared" si="20"/>
        <v>839.04</v>
      </c>
      <c r="N91" s="102">
        <f t="shared" si="21"/>
        <v>1518</v>
      </c>
      <c r="O91" s="102">
        <f t="shared" si="22"/>
        <v>22.08</v>
      </c>
      <c r="P91" s="103">
        <f t="shared" si="23"/>
        <v>2379.12</v>
      </c>
    </row>
    <row r="92" spans="1:16">
      <c r="A92" s="34"/>
      <c r="B92" s="35"/>
      <c r="C92" s="36"/>
      <c r="D92" s="37"/>
      <c r="E92" s="38"/>
      <c r="F92" s="38">
        <v>0</v>
      </c>
      <c r="G92" s="38">
        <v>0</v>
      </c>
      <c r="H92" s="39"/>
      <c r="I92" s="38"/>
      <c r="J92" s="38"/>
      <c r="K92" s="38"/>
      <c r="L92" s="38"/>
      <c r="M92" s="38"/>
      <c r="N92" s="38"/>
      <c r="O92" s="38"/>
      <c r="P92" s="40"/>
    </row>
    <row r="93" spans="1:16" ht="15.05" customHeight="1">
      <c r="A93" s="41"/>
      <c r="B93" s="41"/>
      <c r="C93" s="932" t="s">
        <v>98</v>
      </c>
      <c r="D93" s="933"/>
      <c r="E93" s="933"/>
      <c r="F93" s="933"/>
      <c r="G93" s="933"/>
      <c r="H93" s="933"/>
      <c r="I93" s="933"/>
      <c r="J93" s="933"/>
      <c r="K93" s="933"/>
      <c r="L93" s="42">
        <f>SUM(L13:L92)</f>
        <v>2818.5</v>
      </c>
      <c r="M93" s="42">
        <f>SUM(M13:M92)</f>
        <v>26606.62</v>
      </c>
      <c r="N93" s="42">
        <f>SUM(N13:N92)</f>
        <v>188589.78999999998</v>
      </c>
      <c r="O93" s="42">
        <f>SUM(O13:O92)</f>
        <v>2092.31</v>
      </c>
      <c r="P93" s="42">
        <f>SUM(P13:P92)</f>
        <v>217288.71999999994</v>
      </c>
    </row>
    <row r="94" spans="1:16" s="125" customFormat="1" collapsed="1">
      <c r="I94" s="146"/>
    </row>
    <row r="95" spans="1:16" s="122" customFormat="1" ht="12.8" customHeight="1">
      <c r="B95" s="147" t="s">
        <v>54</v>
      </c>
    </row>
    <row r="96" spans="1:16" s="122" customFormat="1" ht="45" customHeight="1">
      <c r="A96"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96" s="926"/>
      <c r="C96" s="926"/>
      <c r="D96" s="926"/>
      <c r="E96" s="926"/>
      <c r="F96" s="926"/>
      <c r="G96" s="926"/>
      <c r="H96" s="926"/>
      <c r="I96" s="926"/>
      <c r="J96" s="926"/>
      <c r="K96" s="926"/>
      <c r="L96" s="926"/>
      <c r="M96" s="926"/>
      <c r="N96" s="926"/>
      <c r="O96" s="926"/>
      <c r="P96" s="926"/>
    </row>
    <row r="97" spans="1:16" s="122" customFormat="1" ht="84.8" customHeight="1">
      <c r="A97" s="925"/>
      <c r="B97" s="925"/>
      <c r="C97" s="925"/>
      <c r="D97" s="925"/>
      <c r="E97" s="925"/>
      <c r="F97" s="925"/>
      <c r="G97" s="925"/>
      <c r="H97" s="925"/>
      <c r="I97" s="925"/>
      <c r="J97" s="925"/>
      <c r="K97" s="925"/>
      <c r="L97" s="925"/>
      <c r="M97" s="925"/>
      <c r="N97" s="925"/>
      <c r="O97" s="925"/>
      <c r="P97" s="925"/>
    </row>
    <row r="98" spans="1:16" s="122" customFormat="1" ht="12.8" customHeight="1">
      <c r="B98" s="148"/>
    </row>
    <row r="99" spans="1:16" s="122" customFormat="1" ht="12.8" customHeight="1">
      <c r="B99" s="148"/>
    </row>
    <row r="100" spans="1:16" s="125" customFormat="1">
      <c r="B100" s="125" t="s">
        <v>8</v>
      </c>
      <c r="L100" s="157" t="str">
        <f>Koptame!B39</f>
        <v>Pārbaudīja:</v>
      </c>
      <c r="M100" s="157"/>
      <c r="N100" s="157"/>
      <c r="O100" s="157"/>
      <c r="P100" s="157"/>
    </row>
    <row r="101" spans="1:16" s="125" customFormat="1" ht="14.25" customHeight="1">
      <c r="C101" s="178" t="str">
        <f>Koptame!C34</f>
        <v>Arnis Gailītis</v>
      </c>
      <c r="L101" s="178"/>
      <c r="M101" s="922" t="str">
        <f>Koptame!C40</f>
        <v>Dzintra Cīrule</v>
      </c>
      <c r="N101" s="922"/>
      <c r="O101" s="157"/>
      <c r="P101" s="157"/>
    </row>
    <row r="102" spans="1:16" s="125" customFormat="1">
      <c r="C102" s="179" t="str">
        <f>Koptame!C35</f>
        <v>Sertifikāta Nr.20-5643</v>
      </c>
      <c r="L102" s="179"/>
      <c r="M102" s="923" t="str">
        <f>Koptame!C41</f>
        <v>Sertifikāta Nr.10-0363</v>
      </c>
      <c r="N102" s="923"/>
      <c r="O102" s="157"/>
      <c r="P102" s="157"/>
    </row>
    <row r="103" spans="1:16" s="125" customFormat="1" collapsed="1">
      <c r="B103" s="146"/>
      <c r="F103" s="146"/>
      <c r="G103" s="146"/>
    </row>
  </sheetData>
  <mergeCells count="17">
    <mergeCell ref="M101:N101"/>
    <mergeCell ref="M102:N102"/>
    <mergeCell ref="L11:P11"/>
    <mergeCell ref="A97:P97"/>
    <mergeCell ref="A96:P96"/>
    <mergeCell ref="A11:A12"/>
    <mergeCell ref="B11:B12"/>
    <mergeCell ref="C11:C12"/>
    <mergeCell ref="D11:D12"/>
    <mergeCell ref="C93:K93"/>
    <mergeCell ref="E11:E12"/>
    <mergeCell ref="F11:K11"/>
    <mergeCell ref="A2:P2"/>
    <mergeCell ref="L9:O9"/>
    <mergeCell ref="D3:P3"/>
    <mergeCell ref="D4:P4"/>
    <mergeCell ref="D5:P5"/>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71"/>
  <sheetViews>
    <sheetView showZeros="0" view="pageBreakPreview" topLeftCell="A7" zoomScaleNormal="100" zoomScaleSheetLayoutView="100" workbookViewId="0">
      <selection activeCell="G20" sqref="G20"/>
    </sheetView>
  </sheetViews>
  <sheetFormatPr defaultColWidth="9.125" defaultRowHeight="14.4"/>
  <cols>
    <col min="1" max="1" width="9" style="19" customWidth="1"/>
    <col min="2" max="2" width="9.375" style="19" customWidth="1"/>
    <col min="3" max="3" width="42.5" style="1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kops1!B29</f>
        <v>1,9</v>
      </c>
    </row>
    <row r="2" spans="1:16" s="24" customFormat="1">
      <c r="A2" s="919" t="str">
        <f>C13</f>
        <v>Iekšējie apdares darbi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P61</f>
        <v>117293.06999999999</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73.5"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kops1!C29</f>
        <v>Iekšējie apdares darbi</v>
      </c>
      <c r="D13" s="14"/>
      <c r="E13" s="15"/>
      <c r="F13" s="50">
        <v>0</v>
      </c>
      <c r="G13" s="50">
        <v>0</v>
      </c>
      <c r="H13" s="31"/>
      <c r="I13" s="29"/>
      <c r="J13" s="29"/>
      <c r="K13" s="102">
        <f t="shared" ref="K13" si="0">SUM(H13:J13)</f>
        <v>0</v>
      </c>
      <c r="L13" s="50">
        <f t="shared" ref="L13" si="1">ROUND(F13*E13,2)</f>
        <v>0</v>
      </c>
      <c r="M13" s="102">
        <f t="shared" ref="M13" si="2">ROUND(H13*E13,2)</f>
        <v>0</v>
      </c>
      <c r="N13" s="102">
        <f t="shared" ref="N13" si="3">ROUND(I13*E13,2)</f>
        <v>0</v>
      </c>
      <c r="O13" s="102">
        <f t="shared" ref="O13" si="4">ROUND(J13*E13,2)</f>
        <v>0</v>
      </c>
      <c r="P13" s="103">
        <f t="shared" ref="P13" si="5">SUM(M13:O13)</f>
        <v>0</v>
      </c>
    </row>
    <row r="14" spans="1:16" s="56" customFormat="1" ht="15.05">
      <c r="A14" s="451">
        <v>0</v>
      </c>
      <c r="B14" s="115"/>
      <c r="C14" s="563" t="s">
        <v>1372</v>
      </c>
      <c r="D14" s="433"/>
      <c r="E14" s="450"/>
      <c r="F14" s="462"/>
      <c r="G14" s="463"/>
      <c r="H14" s="455">
        <f t="shared" ref="H14:H59" si="6">ROUND(F14*G14,2)</f>
        <v>0</v>
      </c>
      <c r="I14" s="464"/>
      <c r="J14" s="464"/>
      <c r="K14" s="102">
        <f>SUM(H14:J14)</f>
        <v>0</v>
      </c>
      <c r="L14" s="50">
        <f>ROUND(F14*E14,2)</f>
        <v>0</v>
      </c>
      <c r="M14" s="102">
        <f>ROUND(H14*E14,2)</f>
        <v>0</v>
      </c>
      <c r="N14" s="102">
        <f>ROUND(I14*E14,2)</f>
        <v>0</v>
      </c>
      <c r="O14" s="102">
        <f>ROUND(J14*E14,2)</f>
        <v>0</v>
      </c>
      <c r="P14" s="103">
        <f>SUM(M14:O14)</f>
        <v>0</v>
      </c>
    </row>
    <row r="15" spans="1:16" s="56" customFormat="1" ht="24.9">
      <c r="A15" s="474">
        <v>1</v>
      </c>
      <c r="B15" s="564"/>
      <c r="C15" s="492" t="s">
        <v>1373</v>
      </c>
      <c r="D15" s="486" t="s">
        <v>29</v>
      </c>
      <c r="E15" s="487">
        <v>176.2</v>
      </c>
      <c r="F15" s="462">
        <v>1.1000000000000001</v>
      </c>
      <c r="G15" s="463">
        <v>9.5</v>
      </c>
      <c r="H15" s="455">
        <f t="shared" si="6"/>
        <v>10.45</v>
      </c>
      <c r="I15" s="464">
        <v>22.9</v>
      </c>
      <c r="J15" s="464">
        <v>1.02</v>
      </c>
      <c r="K15" s="102">
        <f t="shared" ref="K15:K59" si="7">SUM(H15:J15)</f>
        <v>34.369999999999997</v>
      </c>
      <c r="L15" s="50">
        <f t="shared" ref="L15:L59" si="8">ROUND(F15*E15,2)</f>
        <v>193.82</v>
      </c>
      <c r="M15" s="102">
        <f t="shared" ref="M15:M59" si="9">ROUND(H15*E15,2)</f>
        <v>1841.29</v>
      </c>
      <c r="N15" s="102">
        <f t="shared" ref="N15:N59" si="10">ROUND(I15*E15,2)</f>
        <v>4034.98</v>
      </c>
      <c r="O15" s="102">
        <f t="shared" ref="O15:O59" si="11">ROUND(J15*E15,2)</f>
        <v>179.72</v>
      </c>
      <c r="P15" s="103">
        <f t="shared" ref="P15:P59" si="12">SUM(M15:O15)</f>
        <v>6055.9900000000007</v>
      </c>
    </row>
    <row r="16" spans="1:16" s="56" customFormat="1" ht="24.9">
      <c r="A16" s="474">
        <v>2</v>
      </c>
      <c r="B16" s="564"/>
      <c r="C16" s="492" t="s">
        <v>1374</v>
      </c>
      <c r="D16" s="486" t="s">
        <v>29</v>
      </c>
      <c r="E16" s="487">
        <v>72.400000000000006</v>
      </c>
      <c r="F16" s="462">
        <v>1.1000000000000001</v>
      </c>
      <c r="G16" s="463">
        <v>9.5</v>
      </c>
      <c r="H16" s="455">
        <f t="shared" si="6"/>
        <v>10.45</v>
      </c>
      <c r="I16" s="464">
        <v>28.9</v>
      </c>
      <c r="J16" s="464">
        <v>1.02</v>
      </c>
      <c r="K16" s="102">
        <f t="shared" si="7"/>
        <v>40.369999999999997</v>
      </c>
      <c r="L16" s="50">
        <f t="shared" si="8"/>
        <v>79.64</v>
      </c>
      <c r="M16" s="102">
        <f t="shared" si="9"/>
        <v>756.58</v>
      </c>
      <c r="N16" s="102">
        <f t="shared" si="10"/>
        <v>2092.36</v>
      </c>
      <c r="O16" s="102">
        <f t="shared" si="11"/>
        <v>73.849999999999994</v>
      </c>
      <c r="P16" s="103">
        <f t="shared" si="12"/>
        <v>2922.79</v>
      </c>
    </row>
    <row r="17" spans="1:16" s="56" customFormat="1" ht="24.9">
      <c r="A17" s="474">
        <v>3</v>
      </c>
      <c r="B17" s="564"/>
      <c r="C17" s="492" t="s">
        <v>1375</v>
      </c>
      <c r="D17" s="486" t="s">
        <v>29</v>
      </c>
      <c r="E17" s="487">
        <v>3.3</v>
      </c>
      <c r="F17" s="462">
        <v>1.1000000000000001</v>
      </c>
      <c r="G17" s="463">
        <v>9.5</v>
      </c>
      <c r="H17" s="455">
        <f t="shared" si="6"/>
        <v>10.45</v>
      </c>
      <c r="I17" s="464">
        <v>32</v>
      </c>
      <c r="J17" s="464">
        <v>1.02</v>
      </c>
      <c r="K17" s="102">
        <f t="shared" si="7"/>
        <v>43.470000000000006</v>
      </c>
      <c r="L17" s="50">
        <f t="shared" si="8"/>
        <v>3.63</v>
      </c>
      <c r="M17" s="102">
        <f t="shared" si="9"/>
        <v>34.49</v>
      </c>
      <c r="N17" s="102">
        <f t="shared" si="10"/>
        <v>105.6</v>
      </c>
      <c r="O17" s="102">
        <f t="shared" si="11"/>
        <v>3.37</v>
      </c>
      <c r="P17" s="103">
        <f t="shared" si="12"/>
        <v>143.46</v>
      </c>
    </row>
    <row r="18" spans="1:16" s="56" customFormat="1" ht="49.75">
      <c r="A18" s="474">
        <v>3</v>
      </c>
      <c r="B18" s="564"/>
      <c r="C18" s="492" t="s">
        <v>1438</v>
      </c>
      <c r="D18" s="486" t="s">
        <v>29</v>
      </c>
      <c r="E18" s="487">
        <v>132.5</v>
      </c>
      <c r="F18" s="462">
        <v>1.1000000000000001</v>
      </c>
      <c r="G18" s="463">
        <v>9.5</v>
      </c>
      <c r="H18" s="455">
        <f t="shared" ref="H18" si="13">ROUND(F18*G18,2)</f>
        <v>10.45</v>
      </c>
      <c r="I18" s="464">
        <v>32</v>
      </c>
      <c r="J18" s="464">
        <v>1.02</v>
      </c>
      <c r="K18" s="102">
        <f t="shared" ref="K18" si="14">SUM(H18:J18)</f>
        <v>43.470000000000006</v>
      </c>
      <c r="L18" s="50">
        <f t="shared" ref="L18" si="15">ROUND(F18*E18,2)</f>
        <v>145.75</v>
      </c>
      <c r="M18" s="102">
        <f t="shared" ref="M18" si="16">ROUND(H18*E18,2)</f>
        <v>1384.63</v>
      </c>
      <c r="N18" s="102">
        <f t="shared" ref="N18" si="17">ROUND(I18*E18,2)</f>
        <v>4240</v>
      </c>
      <c r="O18" s="102">
        <f t="shared" ref="O18" si="18">ROUND(J18*E18,2)</f>
        <v>135.15</v>
      </c>
      <c r="P18" s="103">
        <f t="shared" ref="P18" si="19">SUM(M18:O18)</f>
        <v>5759.78</v>
      </c>
    </row>
    <row r="19" spans="1:16" s="56" customFormat="1" ht="24.9">
      <c r="A19" s="366">
        <v>4</v>
      </c>
      <c r="B19" s="565"/>
      <c r="C19" s="566" t="s">
        <v>1376</v>
      </c>
      <c r="D19" s="567" t="s">
        <v>29</v>
      </c>
      <c r="E19" s="568">
        <v>528.4</v>
      </c>
      <c r="F19" s="462">
        <v>0.4</v>
      </c>
      <c r="G19" s="463">
        <v>9.5</v>
      </c>
      <c r="H19" s="455">
        <f t="shared" si="6"/>
        <v>3.8</v>
      </c>
      <c r="I19" s="464">
        <v>3.5</v>
      </c>
      <c r="J19" s="464">
        <v>0.17</v>
      </c>
      <c r="K19" s="102">
        <f t="shared" si="7"/>
        <v>7.47</v>
      </c>
      <c r="L19" s="50">
        <f t="shared" si="8"/>
        <v>211.36</v>
      </c>
      <c r="M19" s="102">
        <f t="shared" si="9"/>
        <v>2007.92</v>
      </c>
      <c r="N19" s="102">
        <f t="shared" si="10"/>
        <v>1849.4</v>
      </c>
      <c r="O19" s="102">
        <f t="shared" si="11"/>
        <v>89.83</v>
      </c>
      <c r="P19" s="103">
        <f t="shared" si="12"/>
        <v>3947.15</v>
      </c>
    </row>
    <row r="20" spans="1:16" s="56" customFormat="1" ht="24.9">
      <c r="A20" s="366">
        <v>5</v>
      </c>
      <c r="B20" s="565"/>
      <c r="C20" s="566" t="s">
        <v>1377</v>
      </c>
      <c r="D20" s="567" t="s">
        <v>29</v>
      </c>
      <c r="E20" s="568">
        <v>124.2</v>
      </c>
      <c r="F20" s="462">
        <v>0.4</v>
      </c>
      <c r="G20" s="463">
        <v>9.5</v>
      </c>
      <c r="H20" s="455">
        <f t="shared" si="6"/>
        <v>3.8</v>
      </c>
      <c r="I20" s="464">
        <v>2.52</v>
      </c>
      <c r="J20" s="464">
        <v>0.17</v>
      </c>
      <c r="K20" s="102">
        <f t="shared" si="7"/>
        <v>6.49</v>
      </c>
      <c r="L20" s="50">
        <f t="shared" si="8"/>
        <v>49.68</v>
      </c>
      <c r="M20" s="102">
        <f t="shared" si="9"/>
        <v>471.96</v>
      </c>
      <c r="N20" s="102">
        <f t="shared" si="10"/>
        <v>312.98</v>
      </c>
      <c r="O20" s="102">
        <f t="shared" si="11"/>
        <v>21.11</v>
      </c>
      <c r="P20" s="103">
        <f t="shared" si="12"/>
        <v>806.05000000000007</v>
      </c>
    </row>
    <row r="21" spans="1:16" s="56" customFormat="1" ht="18.350000000000001" customHeight="1">
      <c r="A21" s="474">
        <v>6</v>
      </c>
      <c r="B21" s="496"/>
      <c r="C21" s="492" t="s">
        <v>1378</v>
      </c>
      <c r="D21" s="486" t="s">
        <v>29</v>
      </c>
      <c r="E21" s="487">
        <v>21.5</v>
      </c>
      <c r="F21" s="462">
        <v>0.43</v>
      </c>
      <c r="G21" s="463">
        <v>9.5</v>
      </c>
      <c r="H21" s="455">
        <f t="shared" si="6"/>
        <v>4.09</v>
      </c>
      <c r="I21" s="464">
        <v>0</v>
      </c>
      <c r="J21" s="464">
        <v>0.06</v>
      </c>
      <c r="K21" s="102">
        <f t="shared" si="7"/>
        <v>4.1499999999999995</v>
      </c>
      <c r="L21" s="50">
        <f t="shared" si="8"/>
        <v>9.25</v>
      </c>
      <c r="M21" s="102">
        <f t="shared" si="9"/>
        <v>87.94</v>
      </c>
      <c r="N21" s="102">
        <f t="shared" si="10"/>
        <v>0</v>
      </c>
      <c r="O21" s="102">
        <f t="shared" si="11"/>
        <v>1.29</v>
      </c>
      <c r="P21" s="103">
        <f t="shared" si="12"/>
        <v>89.23</v>
      </c>
    </row>
    <row r="22" spans="1:16" s="56" customFormat="1" ht="18.350000000000001" customHeight="1">
      <c r="A22" s="474">
        <v>0</v>
      </c>
      <c r="B22" s="496"/>
      <c r="C22" s="508" t="s">
        <v>1379</v>
      </c>
      <c r="D22" s="486" t="s">
        <v>29</v>
      </c>
      <c r="E22" s="487">
        <f>1.05*E21</f>
        <v>22.574999999999999</v>
      </c>
      <c r="F22" s="462">
        <v>0</v>
      </c>
      <c r="G22" s="463">
        <v>0</v>
      </c>
      <c r="H22" s="455">
        <f t="shared" si="6"/>
        <v>0</v>
      </c>
      <c r="I22" s="464">
        <v>1.56</v>
      </c>
      <c r="J22" s="464">
        <v>0</v>
      </c>
      <c r="K22" s="102">
        <f t="shared" si="7"/>
        <v>1.56</v>
      </c>
      <c r="L22" s="50">
        <f t="shared" si="8"/>
        <v>0</v>
      </c>
      <c r="M22" s="102">
        <f t="shared" si="9"/>
        <v>0</v>
      </c>
      <c r="N22" s="102">
        <f t="shared" si="10"/>
        <v>35.22</v>
      </c>
      <c r="O22" s="102">
        <f t="shared" si="11"/>
        <v>0</v>
      </c>
      <c r="P22" s="103">
        <f t="shared" si="12"/>
        <v>35.22</v>
      </c>
    </row>
    <row r="23" spans="1:16" s="56" customFormat="1" ht="18.350000000000001" customHeight="1">
      <c r="A23" s="474">
        <v>0</v>
      </c>
      <c r="B23" s="496"/>
      <c r="C23" s="508" t="s">
        <v>1380</v>
      </c>
      <c r="D23" s="486" t="s">
        <v>1198</v>
      </c>
      <c r="E23" s="487">
        <f>0.3*E21</f>
        <v>6.45</v>
      </c>
      <c r="F23" s="462">
        <v>0</v>
      </c>
      <c r="G23" s="463">
        <v>0</v>
      </c>
      <c r="H23" s="455">
        <f t="shared" si="6"/>
        <v>0</v>
      </c>
      <c r="I23" s="464">
        <v>0.69</v>
      </c>
      <c r="J23" s="464">
        <v>0</v>
      </c>
      <c r="K23" s="102">
        <f t="shared" si="7"/>
        <v>0.69</v>
      </c>
      <c r="L23" s="50">
        <f t="shared" si="8"/>
        <v>0</v>
      </c>
      <c r="M23" s="102">
        <f t="shared" si="9"/>
        <v>0</v>
      </c>
      <c r="N23" s="102">
        <f t="shared" si="10"/>
        <v>4.45</v>
      </c>
      <c r="O23" s="102">
        <f t="shared" si="11"/>
        <v>0</v>
      </c>
      <c r="P23" s="103">
        <f t="shared" si="12"/>
        <v>4.45</v>
      </c>
    </row>
    <row r="24" spans="1:16" s="56" customFormat="1" ht="18.350000000000001" customHeight="1">
      <c r="A24" s="474">
        <v>7</v>
      </c>
      <c r="B24" s="496"/>
      <c r="C24" s="492" t="s">
        <v>1378</v>
      </c>
      <c r="D24" s="486" t="s">
        <v>29</v>
      </c>
      <c r="E24" s="487">
        <v>67.2</v>
      </c>
      <c r="F24" s="462">
        <v>0.43</v>
      </c>
      <c r="G24" s="463">
        <v>9.5</v>
      </c>
      <c r="H24" s="455">
        <f t="shared" si="6"/>
        <v>4.09</v>
      </c>
      <c r="I24" s="464">
        <v>0</v>
      </c>
      <c r="J24" s="464">
        <v>0.06</v>
      </c>
      <c r="K24" s="102">
        <f t="shared" si="7"/>
        <v>4.1499999999999995</v>
      </c>
      <c r="L24" s="50">
        <f t="shared" si="8"/>
        <v>28.9</v>
      </c>
      <c r="M24" s="102">
        <f t="shared" si="9"/>
        <v>274.85000000000002</v>
      </c>
      <c r="N24" s="102">
        <f t="shared" si="10"/>
        <v>0</v>
      </c>
      <c r="O24" s="102">
        <f t="shared" si="11"/>
        <v>4.03</v>
      </c>
      <c r="P24" s="103">
        <f t="shared" si="12"/>
        <v>278.88</v>
      </c>
    </row>
    <row r="25" spans="1:16" s="56" customFormat="1" ht="18.350000000000001" customHeight="1">
      <c r="A25" s="474">
        <v>0</v>
      </c>
      <c r="B25" s="496"/>
      <c r="C25" s="508" t="s">
        <v>1381</v>
      </c>
      <c r="D25" s="486" t="s">
        <v>29</v>
      </c>
      <c r="E25" s="487">
        <f>1.05*E24</f>
        <v>70.56</v>
      </c>
      <c r="F25" s="462">
        <v>0</v>
      </c>
      <c r="G25" s="463">
        <v>0</v>
      </c>
      <c r="H25" s="455">
        <f t="shared" si="6"/>
        <v>0</v>
      </c>
      <c r="I25" s="464">
        <v>2.08</v>
      </c>
      <c r="J25" s="464">
        <v>0</v>
      </c>
      <c r="K25" s="102">
        <f t="shared" si="7"/>
        <v>2.08</v>
      </c>
      <c r="L25" s="50">
        <f t="shared" si="8"/>
        <v>0</v>
      </c>
      <c r="M25" s="102">
        <f t="shared" si="9"/>
        <v>0</v>
      </c>
      <c r="N25" s="102">
        <f t="shared" si="10"/>
        <v>146.76</v>
      </c>
      <c r="O25" s="102">
        <f t="shared" si="11"/>
        <v>0</v>
      </c>
      <c r="P25" s="103">
        <f t="shared" si="12"/>
        <v>146.76</v>
      </c>
    </row>
    <row r="26" spans="1:16" s="56" customFormat="1" ht="18.350000000000001" customHeight="1">
      <c r="A26" s="474">
        <v>0</v>
      </c>
      <c r="B26" s="496"/>
      <c r="C26" s="508" t="s">
        <v>1380</v>
      </c>
      <c r="D26" s="486" t="s">
        <v>1198</v>
      </c>
      <c r="E26" s="487">
        <f>0.3*E24</f>
        <v>20.16</v>
      </c>
      <c r="F26" s="462">
        <v>0</v>
      </c>
      <c r="G26" s="463">
        <v>0</v>
      </c>
      <c r="H26" s="455">
        <f t="shared" si="6"/>
        <v>0</v>
      </c>
      <c r="I26" s="464">
        <v>0.69</v>
      </c>
      <c r="J26" s="464">
        <v>0</v>
      </c>
      <c r="K26" s="102">
        <f t="shared" si="7"/>
        <v>0.69</v>
      </c>
      <c r="L26" s="50">
        <f t="shared" si="8"/>
        <v>0</v>
      </c>
      <c r="M26" s="102">
        <f t="shared" si="9"/>
        <v>0</v>
      </c>
      <c r="N26" s="102">
        <f t="shared" si="10"/>
        <v>13.91</v>
      </c>
      <c r="O26" s="102">
        <f t="shared" si="11"/>
        <v>0</v>
      </c>
      <c r="P26" s="103">
        <f t="shared" si="12"/>
        <v>13.91</v>
      </c>
    </row>
    <row r="27" spans="1:16" s="56" customFormat="1" ht="18.350000000000001" customHeight="1">
      <c r="A27" s="474">
        <v>8</v>
      </c>
      <c r="B27" s="496"/>
      <c r="C27" s="492" t="s">
        <v>1382</v>
      </c>
      <c r="D27" s="486" t="s">
        <v>29</v>
      </c>
      <c r="E27" s="487">
        <v>35.5</v>
      </c>
      <c r="F27" s="462">
        <v>0.43</v>
      </c>
      <c r="G27" s="463">
        <v>9.5</v>
      </c>
      <c r="H27" s="455">
        <f t="shared" si="6"/>
        <v>4.09</v>
      </c>
      <c r="I27" s="464">
        <v>0</v>
      </c>
      <c r="J27" s="464">
        <v>0.06</v>
      </c>
      <c r="K27" s="102">
        <f t="shared" si="7"/>
        <v>4.1499999999999995</v>
      </c>
      <c r="L27" s="50">
        <f t="shared" si="8"/>
        <v>15.27</v>
      </c>
      <c r="M27" s="102">
        <f t="shared" si="9"/>
        <v>145.19999999999999</v>
      </c>
      <c r="N27" s="102">
        <f t="shared" si="10"/>
        <v>0</v>
      </c>
      <c r="O27" s="102">
        <f t="shared" si="11"/>
        <v>2.13</v>
      </c>
      <c r="P27" s="103">
        <f t="shared" si="12"/>
        <v>147.32999999999998</v>
      </c>
    </row>
    <row r="28" spans="1:16" s="56" customFormat="1" ht="18.350000000000001" customHeight="1">
      <c r="A28" s="474">
        <v>0</v>
      </c>
      <c r="B28" s="496"/>
      <c r="C28" s="508" t="s">
        <v>1383</v>
      </c>
      <c r="D28" s="486" t="s">
        <v>29</v>
      </c>
      <c r="E28" s="487">
        <f>1.05*E27</f>
        <v>37.274999999999999</v>
      </c>
      <c r="F28" s="462">
        <v>0</v>
      </c>
      <c r="G28" s="463">
        <v>0</v>
      </c>
      <c r="H28" s="455">
        <f t="shared" si="6"/>
        <v>0</v>
      </c>
      <c r="I28" s="464">
        <v>15.3</v>
      </c>
      <c r="J28" s="464">
        <v>0</v>
      </c>
      <c r="K28" s="102">
        <f t="shared" si="7"/>
        <v>15.3</v>
      </c>
      <c r="L28" s="50">
        <f t="shared" si="8"/>
        <v>0</v>
      </c>
      <c r="M28" s="102">
        <f t="shared" si="9"/>
        <v>0</v>
      </c>
      <c r="N28" s="102">
        <f t="shared" si="10"/>
        <v>570.30999999999995</v>
      </c>
      <c r="O28" s="102">
        <f t="shared" si="11"/>
        <v>0</v>
      </c>
      <c r="P28" s="103">
        <f t="shared" si="12"/>
        <v>570.30999999999995</v>
      </c>
    </row>
    <row r="29" spans="1:16" s="56" customFormat="1" ht="18.350000000000001" customHeight="1">
      <c r="A29" s="474">
        <v>0</v>
      </c>
      <c r="B29" s="496"/>
      <c r="C29" s="508" t="s">
        <v>1380</v>
      </c>
      <c r="D29" s="486" t="s">
        <v>721</v>
      </c>
      <c r="E29" s="487">
        <v>1</v>
      </c>
      <c r="F29" s="462">
        <v>0</v>
      </c>
      <c r="G29" s="463">
        <v>0</v>
      </c>
      <c r="H29" s="455">
        <f t="shared" si="6"/>
        <v>0</v>
      </c>
      <c r="I29" s="464">
        <v>35</v>
      </c>
      <c r="J29" s="464">
        <v>0</v>
      </c>
      <c r="K29" s="102">
        <f t="shared" si="7"/>
        <v>35</v>
      </c>
      <c r="L29" s="50">
        <f t="shared" si="8"/>
        <v>0</v>
      </c>
      <c r="M29" s="102">
        <f t="shared" si="9"/>
        <v>0</v>
      </c>
      <c r="N29" s="102">
        <f t="shared" si="10"/>
        <v>35</v>
      </c>
      <c r="O29" s="102">
        <f t="shared" si="11"/>
        <v>0</v>
      </c>
      <c r="P29" s="103">
        <f t="shared" si="12"/>
        <v>35</v>
      </c>
    </row>
    <row r="30" spans="1:16" s="56" customFormat="1" ht="18.350000000000001" customHeight="1">
      <c r="A30" s="474">
        <v>9</v>
      </c>
      <c r="B30" s="569"/>
      <c r="C30" s="492" t="s">
        <v>1384</v>
      </c>
      <c r="D30" s="486" t="s">
        <v>29</v>
      </c>
      <c r="E30" s="487">
        <f>E27+E24+E21+E19+E18</f>
        <v>785.1</v>
      </c>
      <c r="F30" s="462">
        <v>0.75</v>
      </c>
      <c r="G30" s="463">
        <v>9.5</v>
      </c>
      <c r="H30" s="455">
        <f t="shared" si="6"/>
        <v>7.13</v>
      </c>
      <c r="I30" s="464">
        <v>0</v>
      </c>
      <c r="J30" s="464">
        <v>0.15</v>
      </c>
      <c r="K30" s="102">
        <f t="shared" si="7"/>
        <v>7.28</v>
      </c>
      <c r="L30" s="50">
        <f t="shared" si="8"/>
        <v>588.83000000000004</v>
      </c>
      <c r="M30" s="102">
        <f t="shared" si="9"/>
        <v>5597.76</v>
      </c>
      <c r="N30" s="102">
        <f t="shared" si="10"/>
        <v>0</v>
      </c>
      <c r="O30" s="102">
        <f t="shared" si="11"/>
        <v>117.77</v>
      </c>
      <c r="P30" s="103">
        <f t="shared" si="12"/>
        <v>5715.5300000000007</v>
      </c>
    </row>
    <row r="31" spans="1:16" s="56" customFormat="1" ht="18.350000000000001" customHeight="1">
      <c r="A31" s="474">
        <v>0</v>
      </c>
      <c r="B31" s="564"/>
      <c r="C31" s="508" t="s">
        <v>1385</v>
      </c>
      <c r="D31" s="486" t="s">
        <v>688</v>
      </c>
      <c r="E31" s="487">
        <f>0.1*E30</f>
        <v>78.510000000000005</v>
      </c>
      <c r="F31" s="462">
        <v>0</v>
      </c>
      <c r="G31" s="463">
        <f t="shared" ref="G31:G39" si="20">IF(F31&gt;0,4.5,0)</f>
        <v>0</v>
      </c>
      <c r="H31" s="455">
        <f t="shared" si="6"/>
        <v>0</v>
      </c>
      <c r="I31" s="464">
        <v>1.42</v>
      </c>
      <c r="J31" s="464">
        <v>0</v>
      </c>
      <c r="K31" s="102">
        <f t="shared" si="7"/>
        <v>1.42</v>
      </c>
      <c r="L31" s="50">
        <f t="shared" si="8"/>
        <v>0</v>
      </c>
      <c r="M31" s="102">
        <f t="shared" si="9"/>
        <v>0</v>
      </c>
      <c r="N31" s="102">
        <f t="shared" si="10"/>
        <v>111.48</v>
      </c>
      <c r="O31" s="102">
        <f t="shared" si="11"/>
        <v>0</v>
      </c>
      <c r="P31" s="103">
        <f t="shared" si="12"/>
        <v>111.48</v>
      </c>
    </row>
    <row r="32" spans="1:16" s="56" customFormat="1" ht="18.350000000000001" customHeight="1">
      <c r="A32" s="474">
        <v>0</v>
      </c>
      <c r="B32" s="564"/>
      <c r="C32" s="508" t="s">
        <v>1386</v>
      </c>
      <c r="D32" s="486" t="s">
        <v>1284</v>
      </c>
      <c r="E32" s="487">
        <f>2.4*E30</f>
        <v>1884.24</v>
      </c>
      <c r="F32" s="462">
        <v>0</v>
      </c>
      <c r="G32" s="463">
        <f t="shared" si="20"/>
        <v>0</v>
      </c>
      <c r="H32" s="455">
        <f t="shared" si="6"/>
        <v>0</v>
      </c>
      <c r="I32" s="464">
        <v>0.44</v>
      </c>
      <c r="J32" s="464">
        <v>0</v>
      </c>
      <c r="K32" s="102">
        <f t="shared" si="7"/>
        <v>0.44</v>
      </c>
      <c r="L32" s="50">
        <f t="shared" si="8"/>
        <v>0</v>
      </c>
      <c r="M32" s="102">
        <f t="shared" si="9"/>
        <v>0</v>
      </c>
      <c r="N32" s="102">
        <f t="shared" si="10"/>
        <v>829.07</v>
      </c>
      <c r="O32" s="102">
        <f t="shared" si="11"/>
        <v>0</v>
      </c>
      <c r="P32" s="103">
        <f t="shared" si="12"/>
        <v>829.07</v>
      </c>
    </row>
    <row r="33" spans="1:16" s="56" customFormat="1" ht="18.350000000000001" customHeight="1">
      <c r="A33" s="474">
        <v>0</v>
      </c>
      <c r="B33" s="564"/>
      <c r="C33" s="546" t="s">
        <v>1387</v>
      </c>
      <c r="D33" s="486" t="s">
        <v>29</v>
      </c>
      <c r="E33" s="487">
        <f>0.02*E30</f>
        <v>15.702</v>
      </c>
      <c r="F33" s="462">
        <v>0</v>
      </c>
      <c r="G33" s="463">
        <f t="shared" si="20"/>
        <v>0</v>
      </c>
      <c r="H33" s="455">
        <f t="shared" si="6"/>
        <v>0</v>
      </c>
      <c r="I33" s="464">
        <v>4.0599999999999996</v>
      </c>
      <c r="J33" s="464">
        <v>0</v>
      </c>
      <c r="K33" s="102">
        <f t="shared" si="7"/>
        <v>4.0599999999999996</v>
      </c>
      <c r="L33" s="50">
        <f t="shared" si="8"/>
        <v>0</v>
      </c>
      <c r="M33" s="102">
        <f t="shared" si="9"/>
        <v>0</v>
      </c>
      <c r="N33" s="102">
        <f t="shared" si="10"/>
        <v>63.75</v>
      </c>
      <c r="O33" s="102">
        <f t="shared" si="11"/>
        <v>0</v>
      </c>
      <c r="P33" s="103">
        <f t="shared" si="12"/>
        <v>63.75</v>
      </c>
    </row>
    <row r="34" spans="1:16" s="56" customFormat="1" ht="18.350000000000001" customHeight="1">
      <c r="A34" s="474">
        <v>10</v>
      </c>
      <c r="B34" s="569"/>
      <c r="C34" s="551" t="s">
        <v>1388</v>
      </c>
      <c r="D34" s="486" t="s">
        <v>29</v>
      </c>
      <c r="E34" s="487">
        <f>E30</f>
        <v>785.1</v>
      </c>
      <c r="F34" s="462">
        <v>0.22</v>
      </c>
      <c r="G34" s="463">
        <v>9.5</v>
      </c>
      <c r="H34" s="455">
        <f t="shared" si="6"/>
        <v>2.09</v>
      </c>
      <c r="I34" s="464">
        <v>0</v>
      </c>
      <c r="J34" s="464">
        <v>0.04</v>
      </c>
      <c r="K34" s="102">
        <f t="shared" si="7"/>
        <v>2.13</v>
      </c>
      <c r="L34" s="50">
        <f t="shared" si="8"/>
        <v>172.72</v>
      </c>
      <c r="M34" s="102">
        <f t="shared" si="9"/>
        <v>1640.86</v>
      </c>
      <c r="N34" s="102">
        <f t="shared" si="10"/>
        <v>0</v>
      </c>
      <c r="O34" s="102">
        <f t="shared" si="11"/>
        <v>31.4</v>
      </c>
      <c r="P34" s="103">
        <f t="shared" si="12"/>
        <v>1672.26</v>
      </c>
    </row>
    <row r="35" spans="1:16" s="56" customFormat="1" ht="18.350000000000001" customHeight="1">
      <c r="A35" s="474">
        <v>0</v>
      </c>
      <c r="B35" s="564"/>
      <c r="C35" s="508" t="s">
        <v>1389</v>
      </c>
      <c r="D35" s="486" t="s">
        <v>688</v>
      </c>
      <c r="E35" s="487">
        <f>0.15*E34</f>
        <v>117.765</v>
      </c>
      <c r="F35" s="462">
        <v>0</v>
      </c>
      <c r="G35" s="463">
        <f t="shared" si="20"/>
        <v>0</v>
      </c>
      <c r="H35" s="455">
        <f t="shared" si="6"/>
        <v>0</v>
      </c>
      <c r="I35" s="464">
        <v>3.09</v>
      </c>
      <c r="J35" s="464">
        <v>0</v>
      </c>
      <c r="K35" s="102">
        <f t="shared" si="7"/>
        <v>3.09</v>
      </c>
      <c r="L35" s="50">
        <f t="shared" si="8"/>
        <v>0</v>
      </c>
      <c r="M35" s="102">
        <f t="shared" si="9"/>
        <v>0</v>
      </c>
      <c r="N35" s="102">
        <f t="shared" si="10"/>
        <v>363.89</v>
      </c>
      <c r="O35" s="102">
        <f t="shared" si="11"/>
        <v>0</v>
      </c>
      <c r="P35" s="103">
        <f t="shared" si="12"/>
        <v>363.89</v>
      </c>
    </row>
    <row r="36" spans="1:16" s="56" customFormat="1">
      <c r="A36" s="474">
        <v>11</v>
      </c>
      <c r="B36" s="569"/>
      <c r="C36" s="551" t="s">
        <v>1390</v>
      </c>
      <c r="D36" s="486" t="s">
        <v>29</v>
      </c>
      <c r="E36" s="487">
        <f>E34-132.5</f>
        <v>652.6</v>
      </c>
      <c r="F36" s="462">
        <v>0.44</v>
      </c>
      <c r="G36" s="463">
        <v>9.5</v>
      </c>
      <c r="H36" s="455">
        <f>ROUND(F36*G36,2)</f>
        <v>4.18</v>
      </c>
      <c r="I36" s="464">
        <v>0</v>
      </c>
      <c r="J36" s="464">
        <v>0.09</v>
      </c>
      <c r="K36" s="102">
        <f t="shared" si="7"/>
        <v>4.2699999999999996</v>
      </c>
      <c r="L36" s="50">
        <f t="shared" si="8"/>
        <v>287.14</v>
      </c>
      <c r="M36" s="102">
        <f t="shared" si="9"/>
        <v>2727.87</v>
      </c>
      <c r="N36" s="102">
        <f t="shared" si="10"/>
        <v>0</v>
      </c>
      <c r="O36" s="102">
        <f t="shared" si="11"/>
        <v>58.73</v>
      </c>
      <c r="P36" s="103">
        <f t="shared" si="12"/>
        <v>2786.6</v>
      </c>
    </row>
    <row r="37" spans="1:16" s="56" customFormat="1">
      <c r="A37" s="474">
        <v>0</v>
      </c>
      <c r="B37" s="564"/>
      <c r="C37" s="508" t="s">
        <v>1391</v>
      </c>
      <c r="D37" s="486" t="s">
        <v>688</v>
      </c>
      <c r="E37" s="487">
        <f>0.33*E36</f>
        <v>215.358</v>
      </c>
      <c r="F37" s="462">
        <v>0</v>
      </c>
      <c r="G37" s="463">
        <f t="shared" ref="G37" si="21">IF(F37&gt;0,4.5,0)</f>
        <v>0</v>
      </c>
      <c r="H37" s="455">
        <f>ROUND(F37*G37,2)</f>
        <v>0</v>
      </c>
      <c r="I37" s="464">
        <v>3.8</v>
      </c>
      <c r="J37" s="464">
        <v>0</v>
      </c>
      <c r="K37" s="102">
        <f t="shared" si="7"/>
        <v>3.8</v>
      </c>
      <c r="L37" s="50">
        <f t="shared" si="8"/>
        <v>0</v>
      </c>
      <c r="M37" s="102">
        <f t="shared" si="9"/>
        <v>0</v>
      </c>
      <c r="N37" s="102">
        <f t="shared" si="10"/>
        <v>818.36</v>
      </c>
      <c r="O37" s="102">
        <f t="shared" si="11"/>
        <v>0</v>
      </c>
      <c r="P37" s="103">
        <f t="shared" si="12"/>
        <v>818.36</v>
      </c>
    </row>
    <row r="38" spans="1:16" s="56" customFormat="1">
      <c r="A38" s="474">
        <v>12</v>
      </c>
      <c r="B38" s="569"/>
      <c r="C38" s="551" t="s">
        <v>1392</v>
      </c>
      <c r="D38" s="486" t="s">
        <v>29</v>
      </c>
      <c r="E38" s="487">
        <v>132.5</v>
      </c>
      <c r="F38" s="462">
        <v>0.44</v>
      </c>
      <c r="G38" s="463">
        <v>9.5</v>
      </c>
      <c r="H38" s="455">
        <f t="shared" si="6"/>
        <v>4.18</v>
      </c>
      <c r="I38" s="464">
        <v>0</v>
      </c>
      <c r="J38" s="464">
        <v>0.09</v>
      </c>
      <c r="K38" s="102">
        <f t="shared" si="7"/>
        <v>4.2699999999999996</v>
      </c>
      <c r="L38" s="50">
        <f t="shared" si="8"/>
        <v>58.3</v>
      </c>
      <c r="M38" s="102">
        <f t="shared" si="9"/>
        <v>553.85</v>
      </c>
      <c r="N38" s="102">
        <f t="shared" si="10"/>
        <v>0</v>
      </c>
      <c r="O38" s="102">
        <f t="shared" si="11"/>
        <v>11.93</v>
      </c>
      <c r="P38" s="103">
        <f t="shared" si="12"/>
        <v>565.78</v>
      </c>
    </row>
    <row r="39" spans="1:16" s="56" customFormat="1">
      <c r="A39" s="474">
        <v>0</v>
      </c>
      <c r="B39" s="564"/>
      <c r="C39" s="508" t="s">
        <v>1393</v>
      </c>
      <c r="D39" s="486" t="s">
        <v>688</v>
      </c>
      <c r="E39" s="487">
        <f>0.33*E38</f>
        <v>43.725000000000001</v>
      </c>
      <c r="F39" s="462">
        <v>0</v>
      </c>
      <c r="G39" s="463">
        <f t="shared" si="20"/>
        <v>0</v>
      </c>
      <c r="H39" s="455">
        <f t="shared" si="6"/>
        <v>0</v>
      </c>
      <c r="I39" s="464">
        <v>3.5</v>
      </c>
      <c r="J39" s="464">
        <v>0</v>
      </c>
      <c r="K39" s="102">
        <f t="shared" si="7"/>
        <v>3.5</v>
      </c>
      <c r="L39" s="50">
        <f t="shared" si="8"/>
        <v>0</v>
      </c>
      <c r="M39" s="102">
        <f t="shared" si="9"/>
        <v>0</v>
      </c>
      <c r="N39" s="102">
        <f t="shared" si="10"/>
        <v>153.04</v>
      </c>
      <c r="O39" s="102">
        <f t="shared" si="11"/>
        <v>0</v>
      </c>
      <c r="P39" s="103">
        <f t="shared" si="12"/>
        <v>153.04</v>
      </c>
    </row>
    <row r="40" spans="1:16" s="56" customFormat="1">
      <c r="A40" s="474">
        <v>13</v>
      </c>
      <c r="B40" s="569"/>
      <c r="C40" s="551" t="s">
        <v>1394</v>
      </c>
      <c r="D40" s="486" t="s">
        <v>723</v>
      </c>
      <c r="E40" s="487">
        <v>39</v>
      </c>
      <c r="F40" s="462">
        <v>0.4</v>
      </c>
      <c r="G40" s="463">
        <v>9.5</v>
      </c>
      <c r="H40" s="455">
        <f t="shared" si="6"/>
        <v>3.8</v>
      </c>
      <c r="I40" s="464">
        <v>12</v>
      </c>
      <c r="J40" s="464">
        <v>0.08</v>
      </c>
      <c r="K40" s="102">
        <f t="shared" si="7"/>
        <v>15.88</v>
      </c>
      <c r="L40" s="50">
        <f t="shared" si="8"/>
        <v>15.6</v>
      </c>
      <c r="M40" s="102">
        <f t="shared" si="9"/>
        <v>148.19999999999999</v>
      </c>
      <c r="N40" s="102">
        <f t="shared" si="10"/>
        <v>468</v>
      </c>
      <c r="O40" s="102">
        <f t="shared" si="11"/>
        <v>3.12</v>
      </c>
      <c r="P40" s="103">
        <f t="shared" si="12"/>
        <v>619.32000000000005</v>
      </c>
    </row>
    <row r="41" spans="1:16" s="56" customFormat="1" ht="15.05">
      <c r="A41" s="451">
        <v>0</v>
      </c>
      <c r="B41" s="115"/>
      <c r="C41" s="563" t="s">
        <v>1395</v>
      </c>
      <c r="D41" s="433"/>
      <c r="E41" s="450"/>
      <c r="F41" s="462"/>
      <c r="G41" s="463"/>
      <c r="H41" s="455">
        <f t="shared" si="6"/>
        <v>0</v>
      </c>
      <c r="I41" s="464"/>
      <c r="J41" s="464"/>
      <c r="K41" s="102">
        <f t="shared" si="7"/>
        <v>0</v>
      </c>
      <c r="L41" s="50">
        <f t="shared" si="8"/>
        <v>0</v>
      </c>
      <c r="M41" s="102">
        <f t="shared" si="9"/>
        <v>0</v>
      </c>
      <c r="N41" s="102">
        <f t="shared" si="10"/>
        <v>0</v>
      </c>
      <c r="O41" s="102">
        <f t="shared" si="11"/>
        <v>0</v>
      </c>
      <c r="P41" s="103">
        <f t="shared" si="12"/>
        <v>0</v>
      </c>
    </row>
    <row r="42" spans="1:16" s="56" customFormat="1" ht="24.9">
      <c r="A42" s="474">
        <v>14</v>
      </c>
      <c r="B42" s="564"/>
      <c r="C42" s="492" t="s">
        <v>1396</v>
      </c>
      <c r="D42" s="486" t="s">
        <v>29</v>
      </c>
      <c r="E42" s="487">
        <v>807</v>
      </c>
      <c r="F42" s="462">
        <v>0.9</v>
      </c>
      <c r="G42" s="463">
        <v>9.5</v>
      </c>
      <c r="H42" s="455">
        <f t="shared" si="6"/>
        <v>8.5500000000000007</v>
      </c>
      <c r="I42" s="464">
        <v>3.71</v>
      </c>
      <c r="J42" s="464">
        <v>0.73</v>
      </c>
      <c r="K42" s="102">
        <f t="shared" si="7"/>
        <v>12.990000000000002</v>
      </c>
      <c r="L42" s="50">
        <f t="shared" si="8"/>
        <v>726.3</v>
      </c>
      <c r="M42" s="102">
        <f t="shared" si="9"/>
        <v>6899.85</v>
      </c>
      <c r="N42" s="102">
        <f t="shared" si="10"/>
        <v>2993.97</v>
      </c>
      <c r="O42" s="102">
        <f t="shared" si="11"/>
        <v>589.11</v>
      </c>
      <c r="P42" s="103">
        <f t="shared" si="12"/>
        <v>10482.93</v>
      </c>
    </row>
    <row r="43" spans="1:16" s="56" customFormat="1">
      <c r="A43" s="474">
        <v>15</v>
      </c>
      <c r="B43" s="569"/>
      <c r="C43" s="570" t="s">
        <v>1397</v>
      </c>
      <c r="D43" s="486" t="s">
        <v>29</v>
      </c>
      <c r="E43" s="487">
        <v>3737.6</v>
      </c>
      <c r="F43" s="462">
        <v>0.7</v>
      </c>
      <c r="G43" s="463">
        <v>9.5</v>
      </c>
      <c r="H43" s="455">
        <f t="shared" si="6"/>
        <v>6.65</v>
      </c>
      <c r="I43" s="464">
        <v>0</v>
      </c>
      <c r="J43" s="464">
        <v>0.15</v>
      </c>
      <c r="K43" s="102">
        <f t="shared" si="7"/>
        <v>6.8000000000000007</v>
      </c>
      <c r="L43" s="50">
        <f t="shared" si="8"/>
        <v>2616.3200000000002</v>
      </c>
      <c r="M43" s="102">
        <f t="shared" si="9"/>
        <v>24855.040000000001</v>
      </c>
      <c r="N43" s="102">
        <f t="shared" si="10"/>
        <v>0</v>
      </c>
      <c r="O43" s="102">
        <f t="shared" si="11"/>
        <v>560.64</v>
      </c>
      <c r="P43" s="103">
        <f t="shared" si="12"/>
        <v>25415.68</v>
      </c>
    </row>
    <row r="44" spans="1:16" s="56" customFormat="1">
      <c r="A44" s="474">
        <v>0</v>
      </c>
      <c r="B44" s="569"/>
      <c r="C44" s="508" t="s">
        <v>1385</v>
      </c>
      <c r="D44" s="486" t="s">
        <v>688</v>
      </c>
      <c r="E44" s="487">
        <f>0.1*E43</f>
        <v>373.76</v>
      </c>
      <c r="F44" s="462">
        <v>0</v>
      </c>
      <c r="G44" s="463">
        <f t="shared" ref="G44:G48" si="22">IF(F44&gt;0,4.5,0)</f>
        <v>0</v>
      </c>
      <c r="H44" s="455">
        <f t="shared" si="6"/>
        <v>0</v>
      </c>
      <c r="I44" s="464">
        <v>1.67</v>
      </c>
      <c r="J44" s="464">
        <v>0</v>
      </c>
      <c r="K44" s="102">
        <f t="shared" si="7"/>
        <v>1.67</v>
      </c>
      <c r="L44" s="50">
        <f t="shared" si="8"/>
        <v>0</v>
      </c>
      <c r="M44" s="102">
        <f t="shared" si="9"/>
        <v>0</v>
      </c>
      <c r="N44" s="102">
        <f t="shared" si="10"/>
        <v>624.17999999999995</v>
      </c>
      <c r="O44" s="102">
        <f t="shared" si="11"/>
        <v>0</v>
      </c>
      <c r="P44" s="103">
        <f t="shared" si="12"/>
        <v>624.17999999999995</v>
      </c>
    </row>
    <row r="45" spans="1:16" s="56" customFormat="1">
      <c r="A45" s="474">
        <v>0</v>
      </c>
      <c r="B45" s="569"/>
      <c r="C45" s="508" t="s">
        <v>1398</v>
      </c>
      <c r="D45" s="486" t="s">
        <v>1284</v>
      </c>
      <c r="E45" s="487">
        <f>2.4*E43</f>
        <v>8970.24</v>
      </c>
      <c r="F45" s="462">
        <v>0</v>
      </c>
      <c r="G45" s="463">
        <f t="shared" si="22"/>
        <v>0</v>
      </c>
      <c r="H45" s="455">
        <f t="shared" si="6"/>
        <v>0</v>
      </c>
      <c r="I45" s="464">
        <v>0.44</v>
      </c>
      <c r="J45" s="464">
        <v>0</v>
      </c>
      <c r="K45" s="102">
        <f t="shared" si="7"/>
        <v>0.44</v>
      </c>
      <c r="L45" s="50">
        <f t="shared" si="8"/>
        <v>0</v>
      </c>
      <c r="M45" s="102">
        <f t="shared" si="9"/>
        <v>0</v>
      </c>
      <c r="N45" s="102">
        <f t="shared" si="10"/>
        <v>3946.91</v>
      </c>
      <c r="O45" s="102">
        <f t="shared" si="11"/>
        <v>0</v>
      </c>
      <c r="P45" s="103">
        <f t="shared" si="12"/>
        <v>3946.91</v>
      </c>
    </row>
    <row r="46" spans="1:16" s="56" customFormat="1">
      <c r="A46" s="474">
        <v>0</v>
      </c>
      <c r="B46" s="569"/>
      <c r="C46" s="546" t="s">
        <v>1387</v>
      </c>
      <c r="D46" s="486" t="s">
        <v>29</v>
      </c>
      <c r="E46" s="487">
        <f>0.02*E43</f>
        <v>74.751999999999995</v>
      </c>
      <c r="F46" s="462">
        <v>0</v>
      </c>
      <c r="G46" s="463">
        <f t="shared" si="22"/>
        <v>0</v>
      </c>
      <c r="H46" s="455">
        <f t="shared" si="6"/>
        <v>0</v>
      </c>
      <c r="I46" s="464">
        <v>4.0599999999999996</v>
      </c>
      <c r="J46" s="464">
        <v>0</v>
      </c>
      <c r="K46" s="102">
        <f t="shared" si="7"/>
        <v>4.0599999999999996</v>
      </c>
      <c r="L46" s="50">
        <f t="shared" si="8"/>
        <v>0</v>
      </c>
      <c r="M46" s="102">
        <f t="shared" si="9"/>
        <v>0</v>
      </c>
      <c r="N46" s="102">
        <f t="shared" si="10"/>
        <v>303.49</v>
      </c>
      <c r="O46" s="102">
        <f t="shared" si="11"/>
        <v>0</v>
      </c>
      <c r="P46" s="103">
        <f t="shared" si="12"/>
        <v>303.49</v>
      </c>
    </row>
    <row r="47" spans="1:16" s="56" customFormat="1">
      <c r="A47" s="474">
        <v>16</v>
      </c>
      <c r="B47" s="569"/>
      <c r="C47" s="571" t="s">
        <v>1399</v>
      </c>
      <c r="D47" s="486" t="s">
        <v>29</v>
      </c>
      <c r="E47" s="487">
        <f>E43</f>
        <v>3737.6</v>
      </c>
      <c r="F47" s="462">
        <v>0.2</v>
      </c>
      <c r="G47" s="463">
        <v>9.5</v>
      </c>
      <c r="H47" s="455">
        <f t="shared" si="6"/>
        <v>1.9</v>
      </c>
      <c r="I47" s="464"/>
      <c r="J47" s="464">
        <v>0.04</v>
      </c>
      <c r="K47" s="102">
        <f t="shared" si="7"/>
        <v>1.94</v>
      </c>
      <c r="L47" s="50">
        <f t="shared" si="8"/>
        <v>747.52</v>
      </c>
      <c r="M47" s="102">
        <f t="shared" si="9"/>
        <v>7101.44</v>
      </c>
      <c r="N47" s="102">
        <f t="shared" si="10"/>
        <v>0</v>
      </c>
      <c r="O47" s="102">
        <f t="shared" si="11"/>
        <v>149.5</v>
      </c>
      <c r="P47" s="103">
        <f t="shared" si="12"/>
        <v>7250.94</v>
      </c>
    </row>
    <row r="48" spans="1:16" s="56" customFormat="1">
      <c r="A48" s="474">
        <v>0</v>
      </c>
      <c r="B48" s="569"/>
      <c r="C48" s="508" t="s">
        <v>1389</v>
      </c>
      <c r="D48" s="486" t="s">
        <v>688</v>
      </c>
      <c r="E48" s="487">
        <f>0.15*E47</f>
        <v>560.64</v>
      </c>
      <c r="F48" s="462">
        <v>0</v>
      </c>
      <c r="G48" s="463">
        <f t="shared" si="22"/>
        <v>0</v>
      </c>
      <c r="H48" s="455">
        <f t="shared" si="6"/>
        <v>0</v>
      </c>
      <c r="I48" s="464">
        <v>3.7</v>
      </c>
      <c r="J48" s="464"/>
      <c r="K48" s="102">
        <f t="shared" si="7"/>
        <v>3.7</v>
      </c>
      <c r="L48" s="50">
        <f t="shared" si="8"/>
        <v>0</v>
      </c>
      <c r="M48" s="102">
        <f t="shared" si="9"/>
        <v>0</v>
      </c>
      <c r="N48" s="102">
        <f t="shared" si="10"/>
        <v>2074.37</v>
      </c>
      <c r="O48" s="102">
        <f t="shared" si="11"/>
        <v>0</v>
      </c>
      <c r="P48" s="103">
        <f t="shared" si="12"/>
        <v>2074.37</v>
      </c>
    </row>
    <row r="49" spans="1:16" s="56" customFormat="1" ht="24.9">
      <c r="A49" s="474">
        <v>17</v>
      </c>
      <c r="B49" s="569"/>
      <c r="C49" s="571" t="s">
        <v>1400</v>
      </c>
      <c r="D49" s="486" t="s">
        <v>29</v>
      </c>
      <c r="E49" s="487">
        <f>E47</f>
        <v>3737.6</v>
      </c>
      <c r="F49" s="462">
        <v>0.4</v>
      </c>
      <c r="G49" s="463">
        <v>9.5</v>
      </c>
      <c r="H49" s="455">
        <f t="shared" si="6"/>
        <v>3.8</v>
      </c>
      <c r="I49" s="464"/>
      <c r="J49" s="464">
        <v>0.09</v>
      </c>
      <c r="K49" s="102">
        <f t="shared" si="7"/>
        <v>3.8899999999999997</v>
      </c>
      <c r="L49" s="50">
        <f t="shared" si="8"/>
        <v>1495.04</v>
      </c>
      <c r="M49" s="102">
        <f t="shared" si="9"/>
        <v>14202.88</v>
      </c>
      <c r="N49" s="102">
        <f t="shared" si="10"/>
        <v>0</v>
      </c>
      <c r="O49" s="102">
        <f t="shared" si="11"/>
        <v>336.38</v>
      </c>
      <c r="P49" s="103">
        <f t="shared" si="12"/>
        <v>14539.259999999998</v>
      </c>
    </row>
    <row r="50" spans="1:16" s="56" customFormat="1">
      <c r="A50" s="474">
        <v>0</v>
      </c>
      <c r="B50" s="569"/>
      <c r="C50" s="508" t="s">
        <v>1401</v>
      </c>
      <c r="D50" s="486" t="s">
        <v>688</v>
      </c>
      <c r="E50" s="487">
        <f>0.33*E49</f>
        <v>1233.4080000000001</v>
      </c>
      <c r="F50" s="462">
        <v>0</v>
      </c>
      <c r="G50" s="463">
        <f t="shared" ref="G50" si="23">IF(F50&gt;0,4.5,0)</f>
        <v>0</v>
      </c>
      <c r="H50" s="455">
        <f t="shared" si="6"/>
        <v>0</v>
      </c>
      <c r="I50" s="464">
        <v>3.8</v>
      </c>
      <c r="J50" s="464">
        <v>0</v>
      </c>
      <c r="K50" s="102">
        <f t="shared" si="7"/>
        <v>3.8</v>
      </c>
      <c r="L50" s="50">
        <f t="shared" si="8"/>
        <v>0</v>
      </c>
      <c r="M50" s="102">
        <f t="shared" si="9"/>
        <v>0</v>
      </c>
      <c r="N50" s="102">
        <f t="shared" si="10"/>
        <v>4686.95</v>
      </c>
      <c r="O50" s="102">
        <f t="shared" si="11"/>
        <v>0</v>
      </c>
      <c r="P50" s="103">
        <f t="shared" si="12"/>
        <v>4686.95</v>
      </c>
    </row>
    <row r="51" spans="1:16" s="56" customFormat="1" ht="24.9">
      <c r="A51" s="474">
        <v>18</v>
      </c>
      <c r="B51" s="564"/>
      <c r="C51" s="492" t="s">
        <v>1402</v>
      </c>
      <c r="D51" s="486" t="s">
        <v>29</v>
      </c>
      <c r="E51" s="487">
        <f>E52+E56</f>
        <v>289.39999999999998</v>
      </c>
      <c r="F51" s="462">
        <v>0.39</v>
      </c>
      <c r="G51" s="463">
        <v>9.5</v>
      </c>
      <c r="H51" s="455">
        <f t="shared" si="6"/>
        <v>3.71</v>
      </c>
      <c r="I51" s="464">
        <v>5.34</v>
      </c>
      <c r="J51" s="464">
        <v>0.03</v>
      </c>
      <c r="K51" s="102">
        <f t="shared" si="7"/>
        <v>9.08</v>
      </c>
      <c r="L51" s="50">
        <f t="shared" si="8"/>
        <v>112.87</v>
      </c>
      <c r="M51" s="102">
        <f t="shared" si="9"/>
        <v>1073.67</v>
      </c>
      <c r="N51" s="102">
        <f t="shared" si="10"/>
        <v>1545.4</v>
      </c>
      <c r="O51" s="102">
        <f t="shared" si="11"/>
        <v>8.68</v>
      </c>
      <c r="P51" s="103">
        <f t="shared" si="12"/>
        <v>2627.75</v>
      </c>
    </row>
    <row r="52" spans="1:16" s="56" customFormat="1">
      <c r="A52" s="474">
        <v>19</v>
      </c>
      <c r="B52" s="569"/>
      <c r="C52" s="572" t="s">
        <v>1403</v>
      </c>
      <c r="D52" s="486" t="s">
        <v>29</v>
      </c>
      <c r="E52" s="487">
        <v>255</v>
      </c>
      <c r="F52" s="462">
        <v>2.2999999999999998</v>
      </c>
      <c r="G52" s="463">
        <v>9.5</v>
      </c>
      <c r="H52" s="455">
        <f t="shared" si="6"/>
        <v>21.85</v>
      </c>
      <c r="I52" s="464"/>
      <c r="J52" s="464">
        <v>0.66</v>
      </c>
      <c r="K52" s="102">
        <f t="shared" si="7"/>
        <v>22.51</v>
      </c>
      <c r="L52" s="50">
        <f t="shared" si="8"/>
        <v>586.5</v>
      </c>
      <c r="M52" s="102">
        <f t="shared" si="9"/>
        <v>5571.75</v>
      </c>
      <c r="N52" s="102">
        <f t="shared" si="10"/>
        <v>0</v>
      </c>
      <c r="O52" s="102">
        <f t="shared" si="11"/>
        <v>168.3</v>
      </c>
      <c r="P52" s="103">
        <f t="shared" si="12"/>
        <v>5740.05</v>
      </c>
    </row>
    <row r="53" spans="1:16" s="56" customFormat="1" ht="37.35">
      <c r="A53" s="474">
        <v>0</v>
      </c>
      <c r="B53" s="569"/>
      <c r="C53" s="508" t="s">
        <v>1404</v>
      </c>
      <c r="D53" s="486" t="s">
        <v>29</v>
      </c>
      <c r="E53" s="487">
        <f>1.08*E52</f>
        <v>275.40000000000003</v>
      </c>
      <c r="F53" s="462">
        <v>0</v>
      </c>
      <c r="G53" s="463">
        <f t="shared" ref="G53:G55" si="24">IF(F53&gt;0,4.5,0)</f>
        <v>0</v>
      </c>
      <c r="H53" s="455">
        <f t="shared" si="6"/>
        <v>0</v>
      </c>
      <c r="I53" s="464">
        <v>12</v>
      </c>
      <c r="J53" s="464"/>
      <c r="K53" s="102">
        <f t="shared" si="7"/>
        <v>12</v>
      </c>
      <c r="L53" s="50">
        <f t="shared" si="8"/>
        <v>0</v>
      </c>
      <c r="M53" s="102">
        <f t="shared" si="9"/>
        <v>0</v>
      </c>
      <c r="N53" s="102">
        <f t="shared" si="10"/>
        <v>3304.8</v>
      </c>
      <c r="O53" s="102">
        <f t="shared" si="11"/>
        <v>0</v>
      </c>
      <c r="P53" s="103">
        <f t="shared" si="12"/>
        <v>3304.8</v>
      </c>
    </row>
    <row r="54" spans="1:16" s="56" customFormat="1">
      <c r="A54" s="474">
        <v>0</v>
      </c>
      <c r="B54" s="569"/>
      <c r="C54" s="508" t="s">
        <v>1405</v>
      </c>
      <c r="D54" s="486" t="s">
        <v>1284</v>
      </c>
      <c r="E54" s="487">
        <f>4.4*E52</f>
        <v>1122</v>
      </c>
      <c r="F54" s="462">
        <v>0</v>
      </c>
      <c r="G54" s="463">
        <f t="shared" si="24"/>
        <v>0</v>
      </c>
      <c r="H54" s="455">
        <f t="shared" si="6"/>
        <v>0</v>
      </c>
      <c r="I54" s="464">
        <v>0.21</v>
      </c>
      <c r="J54" s="464"/>
      <c r="K54" s="102">
        <f t="shared" si="7"/>
        <v>0.21</v>
      </c>
      <c r="L54" s="50">
        <f t="shared" si="8"/>
        <v>0</v>
      </c>
      <c r="M54" s="102">
        <f t="shared" si="9"/>
        <v>0</v>
      </c>
      <c r="N54" s="102">
        <f t="shared" si="10"/>
        <v>235.62</v>
      </c>
      <c r="O54" s="102">
        <f t="shared" si="11"/>
        <v>0</v>
      </c>
      <c r="P54" s="103">
        <f t="shared" si="12"/>
        <v>235.62</v>
      </c>
    </row>
    <row r="55" spans="1:16" s="56" customFormat="1">
      <c r="A55" s="474">
        <v>0</v>
      </c>
      <c r="B55" s="569"/>
      <c r="C55" s="508" t="s">
        <v>1406</v>
      </c>
      <c r="D55" s="486" t="s">
        <v>1284</v>
      </c>
      <c r="E55" s="487">
        <f>0.44*E52</f>
        <v>112.2</v>
      </c>
      <c r="F55" s="462">
        <v>0</v>
      </c>
      <c r="G55" s="463">
        <f t="shared" si="24"/>
        <v>0</v>
      </c>
      <c r="H55" s="455">
        <f t="shared" si="6"/>
        <v>0</v>
      </c>
      <c r="I55" s="464">
        <v>1.2</v>
      </c>
      <c r="J55" s="464"/>
      <c r="K55" s="102">
        <f t="shared" si="7"/>
        <v>1.2</v>
      </c>
      <c r="L55" s="50">
        <f t="shared" si="8"/>
        <v>0</v>
      </c>
      <c r="M55" s="102">
        <f t="shared" si="9"/>
        <v>0</v>
      </c>
      <c r="N55" s="102">
        <f t="shared" si="10"/>
        <v>134.63999999999999</v>
      </c>
      <c r="O55" s="102">
        <f t="shared" si="11"/>
        <v>0</v>
      </c>
      <c r="P55" s="103">
        <f t="shared" si="12"/>
        <v>134.63999999999999</v>
      </c>
    </row>
    <row r="56" spans="1:16" s="56" customFormat="1">
      <c r="A56" s="474">
        <v>20</v>
      </c>
      <c r="B56" s="569"/>
      <c r="C56" s="572" t="s">
        <v>1403</v>
      </c>
      <c r="D56" s="486" t="s">
        <v>29</v>
      </c>
      <c r="E56" s="487">
        <v>34.4</v>
      </c>
      <c r="F56" s="462">
        <v>2.2999999999999998</v>
      </c>
      <c r="G56" s="463">
        <v>9.5</v>
      </c>
      <c r="H56" s="455">
        <f t="shared" si="6"/>
        <v>21.85</v>
      </c>
      <c r="I56" s="464"/>
      <c r="J56" s="464">
        <v>0.66</v>
      </c>
      <c r="K56" s="102">
        <f t="shared" si="7"/>
        <v>22.51</v>
      </c>
      <c r="L56" s="50">
        <f t="shared" si="8"/>
        <v>79.12</v>
      </c>
      <c r="M56" s="102">
        <f t="shared" si="9"/>
        <v>751.64</v>
      </c>
      <c r="N56" s="102">
        <f t="shared" si="10"/>
        <v>0</v>
      </c>
      <c r="O56" s="102">
        <f t="shared" si="11"/>
        <v>22.7</v>
      </c>
      <c r="P56" s="103">
        <f t="shared" si="12"/>
        <v>774.34</v>
      </c>
    </row>
    <row r="57" spans="1:16" s="56" customFormat="1" ht="37.35">
      <c r="A57" s="474">
        <v>0</v>
      </c>
      <c r="B57" s="569"/>
      <c r="C57" s="508" t="s">
        <v>1407</v>
      </c>
      <c r="D57" s="486" t="s">
        <v>29</v>
      </c>
      <c r="E57" s="487">
        <f>1.08*E56</f>
        <v>37.152000000000001</v>
      </c>
      <c r="F57" s="462">
        <v>0</v>
      </c>
      <c r="G57" s="463">
        <f t="shared" ref="G57:G59" si="25">IF(F57&gt;0,4.5,0)</f>
        <v>0</v>
      </c>
      <c r="H57" s="455">
        <f t="shared" si="6"/>
        <v>0</v>
      </c>
      <c r="I57" s="464">
        <v>12</v>
      </c>
      <c r="J57" s="464"/>
      <c r="K57" s="102">
        <f t="shared" si="7"/>
        <v>12</v>
      </c>
      <c r="L57" s="50">
        <f t="shared" si="8"/>
        <v>0</v>
      </c>
      <c r="M57" s="102">
        <f t="shared" si="9"/>
        <v>0</v>
      </c>
      <c r="N57" s="102">
        <f t="shared" si="10"/>
        <v>445.82</v>
      </c>
      <c r="O57" s="102">
        <f t="shared" si="11"/>
        <v>0</v>
      </c>
      <c r="P57" s="103">
        <f t="shared" si="12"/>
        <v>445.82</v>
      </c>
    </row>
    <row r="58" spans="1:16" s="56" customFormat="1">
      <c r="A58" s="474">
        <v>0</v>
      </c>
      <c r="B58" s="569"/>
      <c r="C58" s="508" t="s">
        <v>1405</v>
      </c>
      <c r="D58" s="486" t="s">
        <v>1284</v>
      </c>
      <c r="E58" s="487">
        <f>4.4*E56</f>
        <v>151.36000000000001</v>
      </c>
      <c r="F58" s="462">
        <v>0</v>
      </c>
      <c r="G58" s="463">
        <f t="shared" si="25"/>
        <v>0</v>
      </c>
      <c r="H58" s="455">
        <f t="shared" si="6"/>
        <v>0</v>
      </c>
      <c r="I58" s="464">
        <v>0.21</v>
      </c>
      <c r="J58" s="464"/>
      <c r="K58" s="102">
        <f t="shared" si="7"/>
        <v>0.21</v>
      </c>
      <c r="L58" s="50">
        <f t="shared" si="8"/>
        <v>0</v>
      </c>
      <c r="M58" s="102">
        <f t="shared" si="9"/>
        <v>0</v>
      </c>
      <c r="N58" s="102">
        <f t="shared" si="10"/>
        <v>31.79</v>
      </c>
      <c r="O58" s="102">
        <f t="shared" si="11"/>
        <v>0</v>
      </c>
      <c r="P58" s="103">
        <f t="shared" si="12"/>
        <v>31.79</v>
      </c>
    </row>
    <row r="59" spans="1:16" s="56" customFormat="1">
      <c r="A59" s="474">
        <v>0</v>
      </c>
      <c r="B59" s="569"/>
      <c r="C59" s="508" t="s">
        <v>1408</v>
      </c>
      <c r="D59" s="486" t="s">
        <v>1284</v>
      </c>
      <c r="E59" s="487">
        <f>0.44*E56</f>
        <v>15.135999999999999</v>
      </c>
      <c r="F59" s="462">
        <v>0</v>
      </c>
      <c r="G59" s="463">
        <f t="shared" si="25"/>
        <v>0</v>
      </c>
      <c r="H59" s="455">
        <f t="shared" si="6"/>
        <v>0</v>
      </c>
      <c r="I59" s="464">
        <v>1.2</v>
      </c>
      <c r="J59" s="464"/>
      <c r="K59" s="102">
        <f t="shared" si="7"/>
        <v>1.2</v>
      </c>
      <c r="L59" s="50">
        <f t="shared" si="8"/>
        <v>0</v>
      </c>
      <c r="M59" s="102">
        <f t="shared" si="9"/>
        <v>0</v>
      </c>
      <c r="N59" s="102">
        <f t="shared" si="10"/>
        <v>18.16</v>
      </c>
      <c r="O59" s="102">
        <f t="shared" si="11"/>
        <v>0</v>
      </c>
      <c r="P59" s="103">
        <f t="shared" si="12"/>
        <v>18.16</v>
      </c>
    </row>
    <row r="60" spans="1:16">
      <c r="A60" s="34"/>
      <c r="B60" s="35"/>
      <c r="C60" s="36"/>
      <c r="D60" s="37"/>
      <c r="E60" s="38"/>
      <c r="F60" s="38">
        <v>0</v>
      </c>
      <c r="G60" s="38">
        <v>0</v>
      </c>
      <c r="H60" s="39"/>
      <c r="I60" s="38"/>
      <c r="J60" s="38"/>
      <c r="K60" s="38"/>
      <c r="L60" s="38"/>
      <c r="M60" s="38"/>
      <c r="N60" s="38"/>
      <c r="O60" s="38"/>
      <c r="P60" s="40"/>
    </row>
    <row r="61" spans="1:16" ht="15.05" customHeight="1">
      <c r="A61" s="41"/>
      <c r="B61" s="41"/>
      <c r="C61" s="932" t="s">
        <v>98</v>
      </c>
      <c r="D61" s="933"/>
      <c r="E61" s="933"/>
      <c r="F61" s="933"/>
      <c r="G61" s="933"/>
      <c r="H61" s="933"/>
      <c r="I61" s="933"/>
      <c r="J61" s="933"/>
      <c r="K61" s="933"/>
      <c r="L61" s="42">
        <f>SUM(L13:L60)</f>
        <v>8223.5600000000013</v>
      </c>
      <c r="M61" s="42">
        <f>SUM(M13:M60)</f>
        <v>78129.67</v>
      </c>
      <c r="N61" s="42">
        <f>SUM(N13:N60)</f>
        <v>36594.660000000011</v>
      </c>
      <c r="O61" s="42">
        <f>SUM(O13:O60)</f>
        <v>2568.7399999999998</v>
      </c>
      <c r="P61" s="42">
        <f>SUM(P13:P60)</f>
        <v>117293.06999999999</v>
      </c>
    </row>
    <row r="62" spans="1:16" s="125" customFormat="1" collapsed="1">
      <c r="I62" s="146"/>
    </row>
    <row r="63" spans="1:16" s="122" customFormat="1" ht="12.8" customHeight="1">
      <c r="B63" s="147" t="s">
        <v>54</v>
      </c>
    </row>
    <row r="64" spans="1:16" s="122" customFormat="1" ht="45" customHeight="1">
      <c r="A64"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64" s="926"/>
      <c r="C64" s="926"/>
      <c r="D64" s="926"/>
      <c r="E64" s="926"/>
      <c r="F64" s="926"/>
      <c r="G64" s="926"/>
      <c r="H64" s="926"/>
      <c r="I64" s="926"/>
      <c r="J64" s="926"/>
      <c r="K64" s="926"/>
      <c r="L64" s="926"/>
      <c r="M64" s="926"/>
      <c r="N64" s="926"/>
      <c r="O64" s="926"/>
      <c r="P64" s="926"/>
    </row>
    <row r="65" spans="1:16" s="122" customFormat="1" ht="85.75" customHeight="1">
      <c r="A65" s="925"/>
      <c r="B65" s="925"/>
      <c r="C65" s="925"/>
      <c r="D65" s="925"/>
      <c r="E65" s="925"/>
      <c r="F65" s="925"/>
      <c r="G65" s="925"/>
      <c r="H65" s="925"/>
      <c r="I65" s="925"/>
      <c r="J65" s="925"/>
      <c r="K65" s="925"/>
      <c r="L65" s="925"/>
      <c r="M65" s="925"/>
      <c r="N65" s="925"/>
      <c r="O65" s="925"/>
      <c r="P65" s="925"/>
    </row>
    <row r="66" spans="1:16" s="122" customFormat="1" ht="12.8" customHeight="1">
      <c r="B66" s="148"/>
    </row>
    <row r="67" spans="1:16" s="122" customFormat="1" ht="12.8" customHeight="1">
      <c r="B67" s="148"/>
    </row>
    <row r="68" spans="1:16" s="125" customFormat="1">
      <c r="B68" s="125" t="s">
        <v>8</v>
      </c>
      <c r="L68" s="157" t="str">
        <f>Koptame!B39</f>
        <v>Pārbaudīja:</v>
      </c>
      <c r="M68" s="157"/>
      <c r="N68" s="157"/>
      <c r="O68" s="157"/>
      <c r="P68" s="157"/>
    </row>
    <row r="69" spans="1:16" s="125" customFormat="1" ht="14.25" customHeight="1">
      <c r="C69" s="178" t="str">
        <f>Koptame!C34</f>
        <v>Arnis Gailītis</v>
      </c>
      <c r="L69" s="178"/>
      <c r="M69" s="922" t="str">
        <f>Koptame!C40</f>
        <v>Dzintra Cīrule</v>
      </c>
      <c r="N69" s="922"/>
      <c r="O69" s="157"/>
      <c r="P69" s="157"/>
    </row>
    <row r="70" spans="1:16" s="125" customFormat="1">
      <c r="C70" s="179" t="str">
        <f>Koptame!C35</f>
        <v>Sertifikāta Nr.20-5643</v>
      </c>
      <c r="L70" s="179"/>
      <c r="M70" s="923" t="str">
        <f>Koptame!C41</f>
        <v>Sertifikāta Nr.10-0363</v>
      </c>
      <c r="N70" s="923"/>
      <c r="O70" s="157"/>
      <c r="P70" s="157"/>
    </row>
    <row r="71" spans="1:16" s="125" customFormat="1" collapsed="1">
      <c r="B71" s="146"/>
      <c r="F71" s="146"/>
      <c r="G71" s="146"/>
    </row>
  </sheetData>
  <mergeCells count="17">
    <mergeCell ref="M69:N69"/>
    <mergeCell ref="M70:N70"/>
    <mergeCell ref="L11:P11"/>
    <mergeCell ref="A65:P65"/>
    <mergeCell ref="A64:P64"/>
    <mergeCell ref="A11:A12"/>
    <mergeCell ref="B11:B12"/>
    <mergeCell ref="C11:C12"/>
    <mergeCell ref="D11:D12"/>
    <mergeCell ref="C61:K61"/>
    <mergeCell ref="E11:E12"/>
    <mergeCell ref="F11:K11"/>
    <mergeCell ref="A2:P2"/>
    <mergeCell ref="L9:O9"/>
    <mergeCell ref="D3:P3"/>
    <mergeCell ref="D4:P4"/>
    <mergeCell ref="D5:P5"/>
  </mergeCells>
  <printOptions horizontalCentered="1"/>
  <pageMargins left="0.27559055118110237" right="0.27559055118110237" top="0.74803149606299213" bottom="0.74803149606299213" header="0.31496062992125984" footer="0.31496062992125984"/>
  <pageSetup paperSize="9" scale="63"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4"/>
  <sheetViews>
    <sheetView showZeros="0" view="pageBreakPreview" topLeftCell="A5" zoomScale="80" zoomScaleNormal="100" zoomScaleSheetLayoutView="80" workbookViewId="0">
      <selection activeCell="A14" sqref="A14"/>
    </sheetView>
  </sheetViews>
  <sheetFormatPr defaultColWidth="9.125" defaultRowHeight="14.4"/>
  <cols>
    <col min="1" max="1" width="9" style="19" customWidth="1"/>
    <col min="2" max="2" width="9.375" style="19" customWidth="1"/>
    <col min="3" max="3" width="43.875" style="4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C1" s="47"/>
      <c r="E1" s="21"/>
      <c r="F1" s="21"/>
      <c r="G1" s="181" t="s">
        <v>92</v>
      </c>
      <c r="H1" s="111" t="str">
        <f>kops1!B30</f>
        <v>1,10</v>
      </c>
    </row>
    <row r="2" spans="1:16" s="24" customFormat="1">
      <c r="A2" s="919" t="str">
        <f>C13</f>
        <v>Fasāde</v>
      </c>
      <c r="B2" s="919"/>
      <c r="C2" s="919"/>
      <c r="D2" s="919"/>
      <c r="E2" s="919"/>
      <c r="F2" s="919"/>
      <c r="G2" s="919"/>
      <c r="H2" s="919"/>
      <c r="I2" s="919"/>
      <c r="J2" s="919"/>
      <c r="K2" s="919"/>
      <c r="L2" s="919"/>
      <c r="M2" s="919"/>
      <c r="N2" s="919"/>
      <c r="O2" s="919"/>
      <c r="P2" s="919"/>
    </row>
    <row r="3" spans="1:16">
      <c r="A3" s="20"/>
      <c r="B3" s="20"/>
      <c r="C3" s="48" t="s">
        <v>11</v>
      </c>
      <c r="D3" s="921" t="str">
        <f>Koptame!C11</f>
        <v>Ražošanas ēka</v>
      </c>
      <c r="E3" s="921"/>
      <c r="F3" s="921"/>
      <c r="G3" s="921"/>
      <c r="H3" s="921"/>
      <c r="I3" s="921"/>
      <c r="J3" s="921"/>
      <c r="K3" s="921"/>
      <c r="L3" s="921"/>
      <c r="M3" s="921"/>
      <c r="N3" s="921"/>
      <c r="O3" s="921"/>
      <c r="P3" s="921"/>
    </row>
    <row r="4" spans="1:16">
      <c r="A4" s="20"/>
      <c r="B4" s="20"/>
      <c r="C4" s="48" t="s">
        <v>12</v>
      </c>
      <c r="D4" s="921" t="str">
        <f>Koptame!C12</f>
        <v>Ražošanas ēkas Nr.7 jaunbūve</v>
      </c>
      <c r="E4" s="921"/>
      <c r="F4" s="921"/>
      <c r="G4" s="921"/>
      <c r="H4" s="921"/>
      <c r="I4" s="921"/>
      <c r="J4" s="921"/>
      <c r="K4" s="921"/>
      <c r="L4" s="921"/>
      <c r="M4" s="921"/>
      <c r="N4" s="921"/>
      <c r="O4" s="921"/>
      <c r="P4" s="921"/>
    </row>
    <row r="5" spans="1:16">
      <c r="A5" s="20"/>
      <c r="B5" s="20"/>
      <c r="C5" s="48" t="s">
        <v>13</v>
      </c>
      <c r="D5" s="921" t="str">
        <f>Koptame!C13</f>
        <v>Ventspils, Ventspils Augsto tehnoloģiju parks</v>
      </c>
      <c r="E5" s="921"/>
      <c r="F5" s="921"/>
      <c r="G5" s="921"/>
      <c r="H5" s="921"/>
      <c r="I5" s="921"/>
      <c r="J5" s="921"/>
      <c r="K5" s="921"/>
      <c r="L5" s="921"/>
      <c r="M5" s="921"/>
      <c r="N5" s="921"/>
      <c r="O5" s="921"/>
      <c r="P5" s="921"/>
    </row>
    <row r="6" spans="1:16">
      <c r="A6" s="20"/>
      <c r="B6" s="20"/>
      <c r="C6" s="48"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P34</f>
        <v>10490.75</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kops1!C30</f>
        <v>Fasāde</v>
      </c>
      <c r="D13" s="14"/>
      <c r="E13" s="15"/>
      <c r="F13" s="50">
        <v>0</v>
      </c>
      <c r="G13" s="50">
        <v>0</v>
      </c>
      <c r="H13" s="31"/>
      <c r="I13" s="29"/>
      <c r="J13" s="29"/>
      <c r="K13" s="102">
        <f t="shared" ref="K13" si="0">SUM(H13:J13)</f>
        <v>0</v>
      </c>
      <c r="L13" s="50">
        <f t="shared" ref="L13" si="1">ROUND(F13*E13,2)</f>
        <v>0</v>
      </c>
      <c r="M13" s="102">
        <f t="shared" ref="M13" si="2">ROUND(H13*E13,2)</f>
        <v>0</v>
      </c>
      <c r="N13" s="102">
        <f t="shared" ref="N13" si="3">ROUND(I13*E13,2)</f>
        <v>0</v>
      </c>
      <c r="O13" s="102">
        <f t="shared" ref="O13" si="4">ROUND(J13*E13,2)</f>
        <v>0</v>
      </c>
      <c r="P13" s="103">
        <f t="shared" ref="P13" si="5">SUM(M13:O13)</f>
        <v>0</v>
      </c>
    </row>
    <row r="14" spans="1:16" s="56" customFormat="1">
      <c r="A14" s="474">
        <v>0</v>
      </c>
      <c r="B14" s="554"/>
      <c r="C14" s="573" t="s">
        <v>1409</v>
      </c>
      <c r="D14" s="486"/>
      <c r="E14" s="487"/>
      <c r="F14" s="462">
        <v>0</v>
      </c>
      <c r="G14" s="463">
        <v>0</v>
      </c>
      <c r="H14" s="455">
        <f t="shared" ref="H14:H32" si="6">ROUND(F14*G14,2)</f>
        <v>0</v>
      </c>
      <c r="I14" s="464">
        <v>0</v>
      </c>
      <c r="J14" s="464">
        <v>0</v>
      </c>
      <c r="K14" s="102">
        <f>SUM(H14:J14)</f>
        <v>0</v>
      </c>
      <c r="L14" s="50">
        <f>ROUND(F14*E14,2)</f>
        <v>0</v>
      </c>
      <c r="M14" s="102">
        <f>ROUND(H14*E14,2)</f>
        <v>0</v>
      </c>
      <c r="N14" s="102">
        <f>ROUND(I14*E14,2)</f>
        <v>0</v>
      </c>
      <c r="O14" s="102">
        <f>ROUND(J14*E14,2)</f>
        <v>0</v>
      </c>
      <c r="P14" s="103">
        <f>SUM(M14:O14)</f>
        <v>0</v>
      </c>
    </row>
    <row r="15" spans="1:16" s="56" customFormat="1">
      <c r="A15" s="474">
        <v>1</v>
      </c>
      <c r="B15" s="574"/>
      <c r="C15" s="575" t="s">
        <v>1410</v>
      </c>
      <c r="D15" s="486" t="s">
        <v>29</v>
      </c>
      <c r="E15" s="487">
        <v>260</v>
      </c>
      <c r="F15" s="462">
        <v>0.67</v>
      </c>
      <c r="G15" s="463">
        <v>9.5</v>
      </c>
      <c r="H15" s="455">
        <f t="shared" si="6"/>
        <v>6.37</v>
      </c>
      <c r="I15" s="464"/>
      <c r="J15" s="464">
        <v>0.25</v>
      </c>
      <c r="K15" s="102">
        <f t="shared" ref="K15:K32" si="7">SUM(H15:J15)</f>
        <v>6.62</v>
      </c>
      <c r="L15" s="50">
        <f t="shared" ref="L15:L32" si="8">ROUND(F15*E15,2)</f>
        <v>174.2</v>
      </c>
      <c r="M15" s="102">
        <f t="shared" ref="M15:M32" si="9">ROUND(H15*E15,2)</f>
        <v>1656.2</v>
      </c>
      <c r="N15" s="102">
        <f t="shared" ref="N15:N32" si="10">ROUND(I15*E15,2)</f>
        <v>0</v>
      </c>
      <c r="O15" s="102">
        <f t="shared" ref="O15:O32" si="11">ROUND(J15*E15,2)</f>
        <v>65</v>
      </c>
      <c r="P15" s="103">
        <f t="shared" ref="P15:P32" si="12">SUM(M15:O15)</f>
        <v>1721.2</v>
      </c>
    </row>
    <row r="16" spans="1:16" s="56" customFormat="1">
      <c r="A16" s="474">
        <v>0</v>
      </c>
      <c r="B16" s="574"/>
      <c r="C16" s="498" t="s">
        <v>1411</v>
      </c>
      <c r="D16" s="486" t="s">
        <v>29</v>
      </c>
      <c r="E16" s="487">
        <f>1.05*E15</f>
        <v>273</v>
      </c>
      <c r="F16" s="462"/>
      <c r="G16" s="463"/>
      <c r="H16" s="455">
        <f t="shared" si="6"/>
        <v>0</v>
      </c>
      <c r="I16" s="464">
        <v>10.01</v>
      </c>
      <c r="J16" s="464"/>
      <c r="K16" s="102">
        <f t="shared" si="7"/>
        <v>10.01</v>
      </c>
      <c r="L16" s="50">
        <f t="shared" si="8"/>
        <v>0</v>
      </c>
      <c r="M16" s="102">
        <f t="shared" si="9"/>
        <v>0</v>
      </c>
      <c r="N16" s="102">
        <f t="shared" si="10"/>
        <v>2732.73</v>
      </c>
      <c r="O16" s="102">
        <f t="shared" si="11"/>
        <v>0</v>
      </c>
      <c r="P16" s="103">
        <f t="shared" si="12"/>
        <v>2732.73</v>
      </c>
    </row>
    <row r="17" spans="1:16" s="56" customFormat="1">
      <c r="A17" s="474">
        <v>0</v>
      </c>
      <c r="B17" s="574"/>
      <c r="C17" s="497" t="s">
        <v>1412</v>
      </c>
      <c r="D17" s="486" t="s">
        <v>1284</v>
      </c>
      <c r="E17" s="487">
        <f>5*E15</f>
        <v>1300</v>
      </c>
      <c r="F17" s="462"/>
      <c r="G17" s="463"/>
      <c r="H17" s="455">
        <f t="shared" si="6"/>
        <v>0</v>
      </c>
      <c r="I17" s="464">
        <v>0.22</v>
      </c>
      <c r="J17" s="464"/>
      <c r="K17" s="102">
        <f t="shared" si="7"/>
        <v>0.22</v>
      </c>
      <c r="L17" s="50">
        <f t="shared" si="8"/>
        <v>0</v>
      </c>
      <c r="M17" s="102">
        <f t="shared" si="9"/>
        <v>0</v>
      </c>
      <c r="N17" s="102">
        <f t="shared" si="10"/>
        <v>286</v>
      </c>
      <c r="O17" s="102">
        <f t="shared" si="11"/>
        <v>0</v>
      </c>
      <c r="P17" s="103">
        <f t="shared" si="12"/>
        <v>286</v>
      </c>
    </row>
    <row r="18" spans="1:16" s="56" customFormat="1">
      <c r="A18" s="474">
        <v>0</v>
      </c>
      <c r="B18" s="574"/>
      <c r="C18" s="497" t="s">
        <v>1413</v>
      </c>
      <c r="D18" s="486" t="s">
        <v>723</v>
      </c>
      <c r="E18" s="487">
        <f>8*E15</f>
        <v>2080</v>
      </c>
      <c r="F18" s="462"/>
      <c r="G18" s="463"/>
      <c r="H18" s="455">
        <f t="shared" si="6"/>
        <v>0</v>
      </c>
      <c r="I18" s="464">
        <v>0.24</v>
      </c>
      <c r="J18" s="464"/>
      <c r="K18" s="102">
        <f t="shared" si="7"/>
        <v>0.24</v>
      </c>
      <c r="L18" s="50">
        <f t="shared" si="8"/>
        <v>0</v>
      </c>
      <c r="M18" s="102">
        <f t="shared" si="9"/>
        <v>0</v>
      </c>
      <c r="N18" s="102">
        <f t="shared" si="10"/>
        <v>499.2</v>
      </c>
      <c r="O18" s="102">
        <f t="shared" si="11"/>
        <v>0</v>
      </c>
      <c r="P18" s="103">
        <f t="shared" si="12"/>
        <v>499.2</v>
      </c>
    </row>
    <row r="19" spans="1:16" s="56" customFormat="1">
      <c r="A19" s="474">
        <v>2</v>
      </c>
      <c r="B19" s="574"/>
      <c r="C19" s="575" t="s">
        <v>1414</v>
      </c>
      <c r="D19" s="486" t="s">
        <v>29</v>
      </c>
      <c r="E19" s="487">
        <v>260</v>
      </c>
      <c r="F19" s="462">
        <v>0.5</v>
      </c>
      <c r="G19" s="463">
        <v>9.5</v>
      </c>
      <c r="H19" s="455">
        <f t="shared" si="6"/>
        <v>4.75</v>
      </c>
      <c r="I19" s="464">
        <v>6.56</v>
      </c>
      <c r="J19" s="464">
        <v>0.25</v>
      </c>
      <c r="K19" s="102">
        <f t="shared" si="7"/>
        <v>11.559999999999999</v>
      </c>
      <c r="L19" s="50">
        <f t="shared" si="8"/>
        <v>130</v>
      </c>
      <c r="M19" s="102">
        <f t="shared" si="9"/>
        <v>1235</v>
      </c>
      <c r="N19" s="102">
        <f t="shared" si="10"/>
        <v>1705.6</v>
      </c>
      <c r="O19" s="102">
        <f t="shared" si="11"/>
        <v>65</v>
      </c>
      <c r="P19" s="103">
        <f t="shared" si="12"/>
        <v>3005.6</v>
      </c>
    </row>
    <row r="20" spans="1:16" s="56" customFormat="1">
      <c r="A20" s="474">
        <v>3</v>
      </c>
      <c r="B20" s="554"/>
      <c r="C20" s="575" t="s">
        <v>1415</v>
      </c>
      <c r="D20" s="486" t="s">
        <v>29</v>
      </c>
      <c r="E20" s="487">
        <v>260</v>
      </c>
      <c r="F20" s="462">
        <v>0.05</v>
      </c>
      <c r="G20" s="463">
        <v>9.5</v>
      </c>
      <c r="H20" s="455">
        <f t="shared" si="6"/>
        <v>0.48</v>
      </c>
      <c r="I20" s="464">
        <v>0</v>
      </c>
      <c r="J20" s="464">
        <v>0</v>
      </c>
      <c r="K20" s="102">
        <f t="shared" si="7"/>
        <v>0.48</v>
      </c>
      <c r="L20" s="50">
        <f t="shared" si="8"/>
        <v>13</v>
      </c>
      <c r="M20" s="102">
        <f t="shared" si="9"/>
        <v>124.8</v>
      </c>
      <c r="N20" s="102">
        <f t="shared" si="10"/>
        <v>0</v>
      </c>
      <c r="O20" s="102">
        <f t="shared" si="11"/>
        <v>0</v>
      </c>
      <c r="P20" s="103">
        <f t="shared" si="12"/>
        <v>124.8</v>
      </c>
    </row>
    <row r="21" spans="1:16" s="56" customFormat="1">
      <c r="A21" s="474">
        <v>0</v>
      </c>
      <c r="B21" s="554"/>
      <c r="C21" s="497" t="s">
        <v>1416</v>
      </c>
      <c r="D21" s="486" t="s">
        <v>688</v>
      </c>
      <c r="E21" s="487">
        <f>0.25*E20</f>
        <v>65</v>
      </c>
      <c r="F21" s="462">
        <v>0</v>
      </c>
      <c r="G21" s="463">
        <v>0</v>
      </c>
      <c r="H21" s="455">
        <f t="shared" si="6"/>
        <v>0</v>
      </c>
      <c r="I21" s="464">
        <v>1.3</v>
      </c>
      <c r="J21" s="464">
        <v>0</v>
      </c>
      <c r="K21" s="102">
        <f t="shared" si="7"/>
        <v>1.3</v>
      </c>
      <c r="L21" s="50">
        <f t="shared" si="8"/>
        <v>0</v>
      </c>
      <c r="M21" s="102">
        <f t="shared" si="9"/>
        <v>0</v>
      </c>
      <c r="N21" s="102">
        <f t="shared" si="10"/>
        <v>84.5</v>
      </c>
      <c r="O21" s="102">
        <f t="shared" si="11"/>
        <v>0</v>
      </c>
      <c r="P21" s="103">
        <f t="shared" si="12"/>
        <v>84.5</v>
      </c>
    </row>
    <row r="22" spans="1:16" s="56" customFormat="1">
      <c r="A22" s="474">
        <v>4</v>
      </c>
      <c r="B22" s="554"/>
      <c r="C22" s="575" t="s">
        <v>1417</v>
      </c>
      <c r="D22" s="486" t="s">
        <v>29</v>
      </c>
      <c r="E22" s="487">
        <v>100</v>
      </c>
      <c r="F22" s="462">
        <v>0.6</v>
      </c>
      <c r="G22" s="463">
        <v>9.5</v>
      </c>
      <c r="H22" s="455">
        <f>ROUND(F22*G22,2)</f>
        <v>5.7</v>
      </c>
      <c r="I22" s="464">
        <v>0</v>
      </c>
      <c r="J22" s="464">
        <v>0.17</v>
      </c>
      <c r="K22" s="102">
        <f t="shared" si="7"/>
        <v>5.87</v>
      </c>
      <c r="L22" s="50">
        <f t="shared" si="8"/>
        <v>60</v>
      </c>
      <c r="M22" s="102">
        <f t="shared" si="9"/>
        <v>570</v>
      </c>
      <c r="N22" s="102">
        <f t="shared" si="10"/>
        <v>0</v>
      </c>
      <c r="O22" s="102">
        <f t="shared" si="11"/>
        <v>17</v>
      </c>
      <c r="P22" s="103">
        <f t="shared" si="12"/>
        <v>587</v>
      </c>
    </row>
    <row r="23" spans="1:16" s="56" customFormat="1" ht="24.9">
      <c r="A23" s="474">
        <v>0</v>
      </c>
      <c r="B23" s="554"/>
      <c r="C23" s="497" t="s">
        <v>1418</v>
      </c>
      <c r="D23" s="486" t="s">
        <v>1284</v>
      </c>
      <c r="E23" s="487">
        <f>5*E22</f>
        <v>500</v>
      </c>
      <c r="F23" s="462">
        <v>0</v>
      </c>
      <c r="G23" s="463">
        <v>0</v>
      </c>
      <c r="H23" s="455">
        <f t="shared" si="6"/>
        <v>0</v>
      </c>
      <c r="I23" s="464">
        <v>0.25</v>
      </c>
      <c r="J23" s="464">
        <v>0</v>
      </c>
      <c r="K23" s="102">
        <f t="shared" si="7"/>
        <v>0.25</v>
      </c>
      <c r="L23" s="50">
        <f t="shared" si="8"/>
        <v>0</v>
      </c>
      <c r="M23" s="102">
        <f t="shared" si="9"/>
        <v>0</v>
      </c>
      <c r="N23" s="102">
        <f t="shared" si="10"/>
        <v>125</v>
      </c>
      <c r="O23" s="102">
        <f t="shared" si="11"/>
        <v>0</v>
      </c>
      <c r="P23" s="103">
        <f t="shared" si="12"/>
        <v>125</v>
      </c>
    </row>
    <row r="24" spans="1:16" s="56" customFormat="1">
      <c r="A24" s="474">
        <v>0</v>
      </c>
      <c r="B24" s="554"/>
      <c r="C24" s="497" t="s">
        <v>1419</v>
      </c>
      <c r="D24" s="486" t="s">
        <v>29</v>
      </c>
      <c r="E24" s="487">
        <f>1.1*E22</f>
        <v>110.00000000000001</v>
      </c>
      <c r="F24" s="462">
        <v>0</v>
      </c>
      <c r="G24" s="463">
        <v>0</v>
      </c>
      <c r="H24" s="455">
        <f t="shared" si="6"/>
        <v>0</v>
      </c>
      <c r="I24" s="464">
        <v>0.56999999999999995</v>
      </c>
      <c r="J24" s="464">
        <v>0</v>
      </c>
      <c r="K24" s="102">
        <f t="shared" si="7"/>
        <v>0.56999999999999995</v>
      </c>
      <c r="L24" s="50">
        <f t="shared" si="8"/>
        <v>0</v>
      </c>
      <c r="M24" s="102">
        <f t="shared" si="9"/>
        <v>0</v>
      </c>
      <c r="N24" s="102">
        <f t="shared" si="10"/>
        <v>62.7</v>
      </c>
      <c r="O24" s="102">
        <f t="shared" si="11"/>
        <v>0</v>
      </c>
      <c r="P24" s="103">
        <f t="shared" si="12"/>
        <v>62.7</v>
      </c>
    </row>
    <row r="25" spans="1:16" s="56" customFormat="1">
      <c r="A25" s="474">
        <v>5</v>
      </c>
      <c r="B25" s="554"/>
      <c r="C25" s="575" t="s">
        <v>1420</v>
      </c>
      <c r="D25" s="486" t="s">
        <v>29</v>
      </c>
      <c r="E25" s="487">
        <v>100</v>
      </c>
      <c r="F25" s="462">
        <v>0.06</v>
      </c>
      <c r="G25" s="463">
        <v>9.5</v>
      </c>
      <c r="H25" s="455">
        <f>ROUND(F25*G25,2)</f>
        <v>0.56999999999999995</v>
      </c>
      <c r="I25" s="464">
        <v>0</v>
      </c>
      <c r="J25" s="464">
        <v>0</v>
      </c>
      <c r="K25" s="102">
        <f t="shared" si="7"/>
        <v>0.56999999999999995</v>
      </c>
      <c r="L25" s="50">
        <f t="shared" si="8"/>
        <v>6</v>
      </c>
      <c r="M25" s="102">
        <f t="shared" si="9"/>
        <v>57</v>
      </c>
      <c r="N25" s="102">
        <f t="shared" si="10"/>
        <v>0</v>
      </c>
      <c r="O25" s="102">
        <f t="shared" si="11"/>
        <v>0</v>
      </c>
      <c r="P25" s="103">
        <f t="shared" si="12"/>
        <v>57</v>
      </c>
    </row>
    <row r="26" spans="1:16" s="56" customFormat="1" ht="24.9">
      <c r="A26" s="474">
        <v>0</v>
      </c>
      <c r="B26" s="554"/>
      <c r="C26" s="497" t="s">
        <v>1421</v>
      </c>
      <c r="D26" s="486" t="s">
        <v>688</v>
      </c>
      <c r="E26" s="487">
        <f>0.25*E25</f>
        <v>25</v>
      </c>
      <c r="F26" s="462">
        <v>0</v>
      </c>
      <c r="G26" s="463">
        <v>0</v>
      </c>
      <c r="H26" s="455">
        <f t="shared" si="6"/>
        <v>0</v>
      </c>
      <c r="I26" s="464">
        <v>1.58</v>
      </c>
      <c r="J26" s="464">
        <v>0</v>
      </c>
      <c r="K26" s="102">
        <f t="shared" si="7"/>
        <v>1.58</v>
      </c>
      <c r="L26" s="50">
        <f t="shared" si="8"/>
        <v>0</v>
      </c>
      <c r="M26" s="102">
        <f t="shared" si="9"/>
        <v>0</v>
      </c>
      <c r="N26" s="102">
        <f t="shared" si="10"/>
        <v>39.5</v>
      </c>
      <c r="O26" s="102">
        <f t="shared" si="11"/>
        <v>0</v>
      </c>
      <c r="P26" s="103">
        <f t="shared" si="12"/>
        <v>39.5</v>
      </c>
    </row>
    <row r="27" spans="1:16" s="56" customFormat="1">
      <c r="A27" s="474">
        <v>6</v>
      </c>
      <c r="B27" s="554"/>
      <c r="C27" s="575" t="s">
        <v>1422</v>
      </c>
      <c r="D27" s="486" t="s">
        <v>29</v>
      </c>
      <c r="E27" s="487">
        <v>100</v>
      </c>
      <c r="F27" s="462">
        <v>0.53</v>
      </c>
      <c r="G27" s="463">
        <v>9.5</v>
      </c>
      <c r="H27" s="455">
        <f t="shared" si="6"/>
        <v>5.04</v>
      </c>
      <c r="I27" s="464">
        <v>0</v>
      </c>
      <c r="J27" s="464">
        <v>0.25</v>
      </c>
      <c r="K27" s="102">
        <f t="shared" si="7"/>
        <v>5.29</v>
      </c>
      <c r="L27" s="50">
        <f t="shared" si="8"/>
        <v>53</v>
      </c>
      <c r="M27" s="102">
        <f t="shared" si="9"/>
        <v>504</v>
      </c>
      <c r="N27" s="102">
        <f t="shared" si="10"/>
        <v>0</v>
      </c>
      <c r="O27" s="102">
        <f t="shared" si="11"/>
        <v>25</v>
      </c>
      <c r="P27" s="103">
        <f t="shared" si="12"/>
        <v>529</v>
      </c>
    </row>
    <row r="28" spans="1:16" s="56" customFormat="1">
      <c r="A28" s="474">
        <v>0</v>
      </c>
      <c r="B28" s="554"/>
      <c r="C28" s="497" t="s">
        <v>1423</v>
      </c>
      <c r="D28" s="486" t="s">
        <v>1284</v>
      </c>
      <c r="E28" s="487">
        <f>3.5*E27</f>
        <v>350</v>
      </c>
      <c r="F28" s="462">
        <v>0</v>
      </c>
      <c r="G28" s="463">
        <v>0</v>
      </c>
      <c r="H28" s="455">
        <f t="shared" si="6"/>
        <v>0</v>
      </c>
      <c r="I28" s="464">
        <v>0.28999999999999998</v>
      </c>
      <c r="J28" s="464">
        <v>0</v>
      </c>
      <c r="K28" s="102">
        <f t="shared" si="7"/>
        <v>0.28999999999999998</v>
      </c>
      <c r="L28" s="50">
        <f t="shared" si="8"/>
        <v>0</v>
      </c>
      <c r="M28" s="102">
        <f t="shared" si="9"/>
        <v>0</v>
      </c>
      <c r="N28" s="102">
        <f t="shared" si="10"/>
        <v>101.5</v>
      </c>
      <c r="O28" s="102">
        <f t="shared" si="11"/>
        <v>0</v>
      </c>
      <c r="P28" s="103">
        <f t="shared" si="12"/>
        <v>101.5</v>
      </c>
    </row>
    <row r="29" spans="1:16" s="56" customFormat="1">
      <c r="A29" s="474">
        <v>7</v>
      </c>
      <c r="B29" s="554"/>
      <c r="C29" s="575" t="s">
        <v>1424</v>
      </c>
      <c r="D29" s="486" t="s">
        <v>29</v>
      </c>
      <c r="E29" s="487">
        <v>100</v>
      </c>
      <c r="F29" s="462">
        <v>0.14000000000000001</v>
      </c>
      <c r="G29" s="463">
        <v>9.5</v>
      </c>
      <c r="H29" s="455">
        <f t="shared" si="6"/>
        <v>1.33</v>
      </c>
      <c r="I29" s="464">
        <v>0</v>
      </c>
      <c r="J29" s="464">
        <v>0</v>
      </c>
      <c r="K29" s="102">
        <f t="shared" si="7"/>
        <v>1.33</v>
      </c>
      <c r="L29" s="50">
        <f t="shared" si="8"/>
        <v>14</v>
      </c>
      <c r="M29" s="102">
        <f t="shared" si="9"/>
        <v>133</v>
      </c>
      <c r="N29" s="102">
        <f t="shared" si="10"/>
        <v>0</v>
      </c>
      <c r="O29" s="102">
        <f t="shared" si="11"/>
        <v>0</v>
      </c>
      <c r="P29" s="103">
        <f t="shared" si="12"/>
        <v>133</v>
      </c>
    </row>
    <row r="30" spans="1:16" s="56" customFormat="1">
      <c r="A30" s="474">
        <v>0</v>
      </c>
      <c r="B30" s="554"/>
      <c r="C30" s="497" t="s">
        <v>1425</v>
      </c>
      <c r="D30" s="486" t="s">
        <v>688</v>
      </c>
      <c r="E30" s="487">
        <f>0.06*E29</f>
        <v>6</v>
      </c>
      <c r="F30" s="462">
        <v>0</v>
      </c>
      <c r="G30" s="463">
        <v>0</v>
      </c>
      <c r="H30" s="455">
        <f t="shared" si="6"/>
        <v>0</v>
      </c>
      <c r="I30" s="464">
        <v>5.42</v>
      </c>
      <c r="J30" s="464">
        <v>0</v>
      </c>
      <c r="K30" s="102">
        <f t="shared" si="7"/>
        <v>5.42</v>
      </c>
      <c r="L30" s="50">
        <f t="shared" si="8"/>
        <v>0</v>
      </c>
      <c r="M30" s="102">
        <f t="shared" si="9"/>
        <v>0</v>
      </c>
      <c r="N30" s="102">
        <f t="shared" si="10"/>
        <v>32.520000000000003</v>
      </c>
      <c r="O30" s="102">
        <f t="shared" si="11"/>
        <v>0</v>
      </c>
      <c r="P30" s="103">
        <f t="shared" si="12"/>
        <v>32.520000000000003</v>
      </c>
    </row>
    <row r="31" spans="1:16" s="56" customFormat="1">
      <c r="A31" s="474">
        <v>8</v>
      </c>
      <c r="B31" s="554"/>
      <c r="C31" s="575" t="s">
        <v>1426</v>
      </c>
      <c r="D31" s="486" t="s">
        <v>29</v>
      </c>
      <c r="E31" s="487">
        <v>100</v>
      </c>
      <c r="F31" s="462">
        <v>0.22</v>
      </c>
      <c r="G31" s="463">
        <v>9.5</v>
      </c>
      <c r="H31" s="455">
        <f t="shared" si="6"/>
        <v>2.09</v>
      </c>
      <c r="I31" s="464">
        <v>0</v>
      </c>
      <c r="J31" s="464">
        <v>0.03</v>
      </c>
      <c r="K31" s="102">
        <f t="shared" si="7"/>
        <v>2.1199999999999997</v>
      </c>
      <c r="L31" s="50">
        <f t="shared" si="8"/>
        <v>22</v>
      </c>
      <c r="M31" s="102">
        <f t="shared" si="9"/>
        <v>209</v>
      </c>
      <c r="N31" s="102">
        <f t="shared" si="10"/>
        <v>0</v>
      </c>
      <c r="O31" s="102">
        <f t="shared" si="11"/>
        <v>3</v>
      </c>
      <c r="P31" s="103">
        <f t="shared" si="12"/>
        <v>212</v>
      </c>
    </row>
    <row r="32" spans="1:16" s="56" customFormat="1">
      <c r="A32" s="474">
        <v>0</v>
      </c>
      <c r="B32" s="554"/>
      <c r="C32" s="497" t="s">
        <v>1427</v>
      </c>
      <c r="D32" s="486" t="s">
        <v>688</v>
      </c>
      <c r="E32" s="487">
        <f>0.35*E31</f>
        <v>35</v>
      </c>
      <c r="F32" s="462">
        <v>0</v>
      </c>
      <c r="G32" s="463">
        <v>0</v>
      </c>
      <c r="H32" s="455">
        <f t="shared" si="6"/>
        <v>0</v>
      </c>
      <c r="I32" s="464">
        <v>4.5</v>
      </c>
      <c r="J32" s="464">
        <v>0</v>
      </c>
      <c r="K32" s="102">
        <f t="shared" si="7"/>
        <v>4.5</v>
      </c>
      <c r="L32" s="50">
        <f t="shared" si="8"/>
        <v>0</v>
      </c>
      <c r="M32" s="102">
        <f t="shared" si="9"/>
        <v>0</v>
      </c>
      <c r="N32" s="102">
        <f t="shared" si="10"/>
        <v>157.5</v>
      </c>
      <c r="O32" s="102">
        <f t="shared" si="11"/>
        <v>0</v>
      </c>
      <c r="P32" s="103">
        <f t="shared" si="12"/>
        <v>157.5</v>
      </c>
    </row>
    <row r="33" spans="1:16">
      <c r="A33" s="34"/>
      <c r="B33" s="52"/>
      <c r="C33" s="36"/>
      <c r="D33" s="37"/>
      <c r="E33" s="38"/>
      <c r="F33" s="38">
        <v>0</v>
      </c>
      <c r="G33" s="38">
        <v>0</v>
      </c>
      <c r="H33" s="39"/>
      <c r="I33" s="38"/>
      <c r="J33" s="38"/>
      <c r="K33" s="38"/>
      <c r="L33" s="38"/>
      <c r="M33" s="38"/>
      <c r="N33" s="38"/>
      <c r="O33" s="38"/>
      <c r="P33" s="40"/>
    </row>
    <row r="34" spans="1:16" ht="15.05" customHeight="1">
      <c r="A34" s="41"/>
      <c r="B34" s="41"/>
      <c r="C34" s="932" t="s">
        <v>98</v>
      </c>
      <c r="D34" s="933"/>
      <c r="E34" s="933"/>
      <c r="F34" s="933"/>
      <c r="G34" s="933"/>
      <c r="H34" s="933"/>
      <c r="I34" s="933"/>
      <c r="J34" s="933"/>
      <c r="K34" s="933"/>
      <c r="L34" s="42">
        <f>SUM(L13:L33)</f>
        <v>472.2</v>
      </c>
      <c r="M34" s="42">
        <f>SUM(M13:M33)</f>
        <v>4489</v>
      </c>
      <c r="N34" s="42">
        <f>SUM(N13:N33)</f>
        <v>5826.75</v>
      </c>
      <c r="O34" s="42">
        <f>SUM(O13:O33)</f>
        <v>175</v>
      </c>
      <c r="P34" s="42">
        <f>SUM(P13:P33)</f>
        <v>10490.75</v>
      </c>
    </row>
    <row r="35" spans="1:16" s="125" customFormat="1" collapsed="1">
      <c r="I35" s="146"/>
    </row>
    <row r="36" spans="1:16" s="122" customFormat="1" ht="12.8" customHeight="1">
      <c r="B36" s="147" t="s">
        <v>54</v>
      </c>
    </row>
    <row r="37" spans="1:16" s="122" customFormat="1" ht="45" customHeight="1">
      <c r="A37"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37" s="926"/>
      <c r="C37" s="926"/>
      <c r="D37" s="926"/>
      <c r="E37" s="926"/>
      <c r="F37" s="926"/>
      <c r="G37" s="926"/>
      <c r="H37" s="926"/>
      <c r="I37" s="926"/>
      <c r="J37" s="926"/>
      <c r="K37" s="926"/>
      <c r="L37" s="926"/>
      <c r="M37" s="926"/>
      <c r="N37" s="926"/>
      <c r="O37" s="926"/>
      <c r="P37" s="926"/>
    </row>
    <row r="38" spans="1:16" s="122" customFormat="1" ht="79.55" customHeight="1">
      <c r="A38" s="925"/>
      <c r="B38" s="925"/>
      <c r="C38" s="925"/>
      <c r="D38" s="925"/>
      <c r="E38" s="925"/>
      <c r="F38" s="925"/>
      <c r="G38" s="925"/>
      <c r="H38" s="925"/>
      <c r="I38" s="925"/>
      <c r="J38" s="925"/>
      <c r="K38" s="925"/>
      <c r="L38" s="925"/>
      <c r="M38" s="925"/>
      <c r="N38" s="925"/>
      <c r="O38" s="925"/>
      <c r="P38" s="925"/>
    </row>
    <row r="39" spans="1:16" s="122" customFormat="1" ht="12.8" customHeight="1">
      <c r="B39" s="148"/>
    </row>
    <row r="40" spans="1:16" s="122" customFormat="1" ht="12.8" customHeight="1">
      <c r="B40" s="148"/>
    </row>
    <row r="41" spans="1:16" s="125" customFormat="1">
      <c r="B41" s="125" t="s">
        <v>8</v>
      </c>
      <c r="L41" s="157" t="str">
        <f>Koptame!B39</f>
        <v>Pārbaudīja:</v>
      </c>
      <c r="M41" s="157"/>
      <c r="N41" s="157"/>
      <c r="O41" s="157"/>
      <c r="P41" s="157"/>
    </row>
    <row r="42" spans="1:16" s="125" customFormat="1" ht="14.25" customHeight="1">
      <c r="C42" s="178" t="str">
        <f>Koptame!C34</f>
        <v>Arnis Gailītis</v>
      </c>
      <c r="L42" s="178"/>
      <c r="M42" s="922" t="str">
        <f>Koptame!C40</f>
        <v>Dzintra Cīrule</v>
      </c>
      <c r="N42" s="922"/>
      <c r="O42" s="157"/>
      <c r="P42" s="157"/>
    </row>
    <row r="43" spans="1:16" s="125" customFormat="1">
      <c r="C43" s="179" t="str">
        <f>Koptame!C35</f>
        <v>Sertifikāta Nr.20-5643</v>
      </c>
      <c r="L43" s="179"/>
      <c r="M43" s="923" t="str">
        <f>Koptame!C41</f>
        <v>Sertifikāta Nr.10-0363</v>
      </c>
      <c r="N43" s="923"/>
      <c r="O43" s="157"/>
      <c r="P43" s="157"/>
    </row>
    <row r="44" spans="1:16" s="125" customFormat="1" collapsed="1">
      <c r="B44" s="146"/>
      <c r="F44" s="146"/>
      <c r="G44" s="146"/>
    </row>
  </sheetData>
  <mergeCells count="17">
    <mergeCell ref="A2:P2"/>
    <mergeCell ref="L9:O9"/>
    <mergeCell ref="A11:A12"/>
    <mergeCell ref="B11:B12"/>
    <mergeCell ref="C11:C12"/>
    <mergeCell ref="D11:D12"/>
    <mergeCell ref="E11:E12"/>
    <mergeCell ref="D3:P3"/>
    <mergeCell ref="D4:P4"/>
    <mergeCell ref="D5:P5"/>
    <mergeCell ref="F11:K11"/>
    <mergeCell ref="L11:P11"/>
    <mergeCell ref="C34:K34"/>
    <mergeCell ref="A38:P38"/>
    <mergeCell ref="A37:P37"/>
    <mergeCell ref="M42:N42"/>
    <mergeCell ref="M43:N43"/>
  </mergeCells>
  <printOptions horizontalCentered="1"/>
  <pageMargins left="0.27559055118110237" right="0.27559055118110237" top="0.74803149606299213" bottom="0.74803149606299213" header="0.31496062992125984" footer="0.31496062992125984"/>
  <pageSetup paperSize="9" scale="7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8"/>
  <sheetViews>
    <sheetView showZeros="0" view="pageBreakPreview" zoomScale="80" zoomScaleNormal="100" zoomScaleSheetLayoutView="80" workbookViewId="0">
      <selection activeCell="G26" sqref="G26"/>
    </sheetView>
  </sheetViews>
  <sheetFormatPr defaultColWidth="9.125" defaultRowHeight="14.4"/>
  <cols>
    <col min="1" max="1" width="9" style="19" customWidth="1"/>
    <col min="2" max="2" width="9.375" style="19" customWidth="1"/>
    <col min="3" max="3" width="43.875" style="4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C1" s="47"/>
      <c r="E1" s="21"/>
      <c r="F1" s="21"/>
      <c r="G1" s="181" t="s">
        <v>92</v>
      </c>
      <c r="H1" s="110" t="str">
        <f>kops1!B31</f>
        <v>1,11</v>
      </c>
    </row>
    <row r="2" spans="1:16" s="24" customFormat="1">
      <c r="A2" s="919" t="str">
        <f>C13</f>
        <v>Dažādi darbi</v>
      </c>
      <c r="B2" s="919"/>
      <c r="C2" s="919"/>
      <c r="D2" s="919"/>
      <c r="E2" s="919"/>
      <c r="F2" s="919"/>
      <c r="G2" s="919"/>
      <c r="H2" s="919"/>
      <c r="I2" s="919"/>
      <c r="J2" s="919"/>
      <c r="K2" s="919"/>
      <c r="L2" s="919"/>
      <c r="M2" s="919"/>
      <c r="N2" s="919"/>
      <c r="O2" s="919"/>
      <c r="P2" s="919"/>
    </row>
    <row r="3" spans="1:16">
      <c r="A3" s="20"/>
      <c r="B3" s="20"/>
      <c r="C3" s="48" t="s">
        <v>11</v>
      </c>
      <c r="D3" s="921" t="str">
        <f>Koptame!C11</f>
        <v>Ražošanas ēka</v>
      </c>
      <c r="E3" s="921"/>
      <c r="F3" s="921"/>
      <c r="G3" s="921"/>
      <c r="H3" s="921"/>
      <c r="I3" s="921"/>
      <c r="J3" s="921"/>
      <c r="K3" s="921"/>
      <c r="L3" s="921"/>
      <c r="M3" s="921"/>
      <c r="N3" s="921"/>
      <c r="O3" s="921"/>
      <c r="P3" s="921"/>
    </row>
    <row r="4" spans="1:16">
      <c r="A4" s="20"/>
      <c r="B4" s="20"/>
      <c r="C4" s="48" t="s">
        <v>12</v>
      </c>
      <c r="D4" s="921" t="str">
        <f>Koptame!C12</f>
        <v>Ražošanas ēkas Nr.7 jaunbūve</v>
      </c>
      <c r="E4" s="921"/>
      <c r="F4" s="921"/>
      <c r="G4" s="921"/>
      <c r="H4" s="921"/>
      <c r="I4" s="921"/>
      <c r="J4" s="921"/>
      <c r="K4" s="921"/>
      <c r="L4" s="921"/>
      <c r="M4" s="921"/>
      <c r="N4" s="921"/>
      <c r="O4" s="921"/>
      <c r="P4" s="921"/>
    </row>
    <row r="5" spans="1:16">
      <c r="A5" s="20"/>
      <c r="B5" s="20"/>
      <c r="C5" s="48" t="s">
        <v>13</v>
      </c>
      <c r="D5" s="921" t="str">
        <f>Koptame!C13</f>
        <v>Ventspils, Ventspils Augsto tehnoloģiju parks</v>
      </c>
      <c r="E5" s="921"/>
      <c r="F5" s="921"/>
      <c r="G5" s="921"/>
      <c r="H5" s="921"/>
      <c r="I5" s="921"/>
      <c r="J5" s="921"/>
      <c r="K5" s="921"/>
      <c r="L5" s="921"/>
      <c r="M5" s="921"/>
      <c r="N5" s="921"/>
      <c r="O5" s="921"/>
      <c r="P5" s="921"/>
    </row>
    <row r="6" spans="1:16">
      <c r="A6" s="20"/>
      <c r="B6" s="20"/>
      <c r="C6" s="48"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P18</f>
        <v>11096</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kops1!C31</f>
        <v>Dažādi darbi</v>
      </c>
      <c r="D13" s="14"/>
      <c r="E13" s="15"/>
      <c r="F13" s="50">
        <v>0</v>
      </c>
      <c r="G13" s="50">
        <v>0</v>
      </c>
      <c r="H13" s="31"/>
      <c r="I13" s="29"/>
      <c r="J13" s="29"/>
      <c r="K13" s="102">
        <f t="shared" ref="K13" si="0">SUM(H13:J13)</f>
        <v>0</v>
      </c>
      <c r="L13" s="50">
        <f t="shared" ref="L13" si="1">ROUND(F13*E13,2)</f>
        <v>0</v>
      </c>
      <c r="M13" s="102">
        <f t="shared" ref="M13" si="2">ROUND(H13*E13,2)</f>
        <v>0</v>
      </c>
      <c r="N13" s="102">
        <f t="shared" ref="N13" si="3">ROUND(I13*E13,2)</f>
        <v>0</v>
      </c>
      <c r="O13" s="102">
        <f t="shared" ref="O13" si="4">ROUND(J13*E13,2)</f>
        <v>0</v>
      </c>
      <c r="P13" s="103">
        <f t="shared" ref="P13" si="5">SUM(M13:O13)</f>
        <v>0</v>
      </c>
    </row>
    <row r="14" spans="1:16" s="56" customFormat="1" ht="15.05">
      <c r="A14" s="101">
        <v>1</v>
      </c>
      <c r="B14" s="115"/>
      <c r="C14" s="100" t="s">
        <v>1428</v>
      </c>
      <c r="D14" s="99" t="s">
        <v>721</v>
      </c>
      <c r="E14" s="450">
        <v>1</v>
      </c>
      <c r="F14" s="462">
        <v>8</v>
      </c>
      <c r="G14" s="463">
        <v>9.5</v>
      </c>
      <c r="H14" s="455">
        <f t="shared" ref="H14" si="6">ROUND(F14*G14,2)</f>
        <v>76</v>
      </c>
      <c r="I14" s="464">
        <f>20*80</f>
        <v>1600</v>
      </c>
      <c r="J14" s="464">
        <v>30</v>
      </c>
      <c r="K14" s="102">
        <f>SUM(H14:J14)</f>
        <v>1706</v>
      </c>
      <c r="L14" s="50">
        <f>ROUND(F14*E14,2)</f>
        <v>8</v>
      </c>
      <c r="M14" s="102">
        <f>ROUND(H14*E14,2)</f>
        <v>76</v>
      </c>
      <c r="N14" s="102">
        <f>ROUND(I14*E14,2)</f>
        <v>1600</v>
      </c>
      <c r="O14" s="102">
        <f>ROUND(J14*E14,2)</f>
        <v>30</v>
      </c>
      <c r="P14" s="103">
        <f>SUM(M14:O14)</f>
        <v>1706</v>
      </c>
    </row>
    <row r="15" spans="1:16" s="56" customFormat="1" ht="15.05">
      <c r="A15" s="101">
        <v>2</v>
      </c>
      <c r="B15" s="115"/>
      <c r="C15" s="100" t="s">
        <v>1469</v>
      </c>
      <c r="D15" s="99" t="s">
        <v>721</v>
      </c>
      <c r="E15" s="450">
        <v>1</v>
      </c>
      <c r="F15" s="462">
        <v>50</v>
      </c>
      <c r="G15" s="463">
        <v>9.5</v>
      </c>
      <c r="H15" s="455">
        <f t="shared" ref="H15" si="7">ROUND(F15*G15,2)</f>
        <v>475</v>
      </c>
      <c r="I15" s="464">
        <v>3500</v>
      </c>
      <c r="J15" s="464">
        <v>25</v>
      </c>
      <c r="K15" s="102">
        <f>SUM(H15:J15)</f>
        <v>4000</v>
      </c>
      <c r="L15" s="50">
        <f>ROUND(F15*E15,2)</f>
        <v>50</v>
      </c>
      <c r="M15" s="102">
        <f>ROUND(H15*E15,2)</f>
        <v>475</v>
      </c>
      <c r="N15" s="102">
        <f>ROUND(I15*E15,2)</f>
        <v>3500</v>
      </c>
      <c r="O15" s="102">
        <f>ROUND(J15*E15,2)</f>
        <v>25</v>
      </c>
      <c r="P15" s="103">
        <f>SUM(M15:O15)</f>
        <v>4000</v>
      </c>
    </row>
    <row r="16" spans="1:16" s="56" customFormat="1" ht="15.05">
      <c r="A16" s="101">
        <v>3</v>
      </c>
      <c r="B16" s="115"/>
      <c r="C16" s="100" t="s">
        <v>1470</v>
      </c>
      <c r="D16" s="99" t="s">
        <v>721</v>
      </c>
      <c r="E16" s="450">
        <v>1</v>
      </c>
      <c r="F16" s="462">
        <v>70</v>
      </c>
      <c r="G16" s="463">
        <v>9.5</v>
      </c>
      <c r="H16" s="455">
        <f t="shared" ref="H16" si="8">ROUND(F16*G16,2)</f>
        <v>665</v>
      </c>
      <c r="I16" s="464">
        <v>4700</v>
      </c>
      <c r="J16" s="464">
        <v>25</v>
      </c>
      <c r="K16" s="102">
        <f>SUM(H16:J16)</f>
        <v>5390</v>
      </c>
      <c r="L16" s="50">
        <f>ROUND(F16*E16,2)</f>
        <v>70</v>
      </c>
      <c r="M16" s="102">
        <f>ROUND(H16*E16,2)</f>
        <v>665</v>
      </c>
      <c r="N16" s="102">
        <f>ROUND(I16*E16,2)</f>
        <v>4700</v>
      </c>
      <c r="O16" s="102">
        <f>ROUND(J16*E16,2)</f>
        <v>25</v>
      </c>
      <c r="P16" s="103">
        <f>SUM(M16:O16)</f>
        <v>5390</v>
      </c>
    </row>
    <row r="17" spans="1:16">
      <c r="A17" s="34"/>
      <c r="B17" s="52"/>
      <c r="C17" s="36"/>
      <c r="D17" s="37"/>
      <c r="E17" s="38"/>
      <c r="F17" s="38">
        <v>0</v>
      </c>
      <c r="G17" s="38">
        <v>0</v>
      </c>
      <c r="H17" s="39"/>
      <c r="I17" s="38"/>
      <c r="J17" s="38"/>
      <c r="K17" s="38"/>
      <c r="L17" s="38"/>
      <c r="M17" s="38"/>
      <c r="N17" s="38"/>
      <c r="O17" s="38"/>
      <c r="P17" s="40"/>
    </row>
    <row r="18" spans="1:16" ht="15.05" customHeight="1">
      <c r="A18" s="41"/>
      <c r="B18" s="41"/>
      <c r="C18" s="932" t="s">
        <v>98</v>
      </c>
      <c r="D18" s="933"/>
      <c r="E18" s="933"/>
      <c r="F18" s="933"/>
      <c r="G18" s="933"/>
      <c r="H18" s="933"/>
      <c r="I18" s="933"/>
      <c r="J18" s="933"/>
      <c r="K18" s="933"/>
      <c r="L18" s="42">
        <f>SUM(L13:L17)</f>
        <v>128</v>
      </c>
      <c r="M18" s="42">
        <f>SUM(M13:M17)</f>
        <v>1216</v>
      </c>
      <c r="N18" s="42">
        <f>SUM(N13:N17)</f>
        <v>9800</v>
      </c>
      <c r="O18" s="42">
        <f>SUM(O13:O17)</f>
        <v>80</v>
      </c>
      <c r="P18" s="42">
        <f>SUM(P13:P17)</f>
        <v>11096</v>
      </c>
    </row>
    <row r="19" spans="1:16" s="125" customFormat="1" collapsed="1">
      <c r="I19" s="146"/>
    </row>
    <row r="20" spans="1:16" s="122" customFormat="1" ht="12.8" customHeight="1">
      <c r="B20" s="147" t="s">
        <v>54</v>
      </c>
    </row>
    <row r="21" spans="1:16" s="122" customFormat="1" ht="45" customHeight="1">
      <c r="A21"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1" s="926"/>
      <c r="C21" s="926"/>
      <c r="D21" s="926"/>
      <c r="E21" s="926"/>
      <c r="F21" s="926"/>
      <c r="G21" s="926"/>
      <c r="H21" s="926"/>
      <c r="I21" s="926"/>
      <c r="J21" s="926"/>
      <c r="K21" s="926"/>
      <c r="L21" s="926"/>
      <c r="M21" s="926"/>
      <c r="N21" s="926"/>
      <c r="O21" s="926"/>
      <c r="P21" s="926"/>
    </row>
    <row r="22" spans="1:16" s="122" customFormat="1" ht="74.95" customHeight="1">
      <c r="A22" s="925"/>
      <c r="B22" s="925"/>
      <c r="C22" s="925"/>
      <c r="D22" s="925"/>
      <c r="E22" s="925"/>
      <c r="F22" s="925"/>
      <c r="G22" s="925"/>
      <c r="H22" s="925"/>
      <c r="I22" s="925"/>
      <c r="J22" s="925"/>
      <c r="K22" s="925"/>
      <c r="L22" s="925"/>
      <c r="M22" s="925"/>
      <c r="N22" s="925"/>
      <c r="O22" s="925"/>
      <c r="P22" s="925"/>
    </row>
    <row r="23" spans="1:16" s="122" customFormat="1" ht="12.8" customHeight="1">
      <c r="B23" s="148"/>
    </row>
    <row r="24" spans="1:16" s="122" customFormat="1" ht="12.8" customHeight="1">
      <c r="B24" s="148"/>
    </row>
    <row r="25" spans="1:16" s="125" customFormat="1">
      <c r="B25" s="125" t="s">
        <v>8</v>
      </c>
      <c r="L25" s="157" t="str">
        <f>Koptame!B39</f>
        <v>Pārbaudīja:</v>
      </c>
      <c r="M25" s="157"/>
      <c r="N25" s="157"/>
      <c r="O25" s="157"/>
      <c r="P25" s="157"/>
    </row>
    <row r="26" spans="1:16" s="125" customFormat="1" ht="14.25" customHeight="1">
      <c r="C26" s="178" t="str">
        <f>Koptame!C34</f>
        <v>Arnis Gailītis</v>
      </c>
      <c r="L26" s="178"/>
      <c r="M26" s="922" t="str">
        <f>Koptame!C40</f>
        <v>Dzintra Cīrule</v>
      </c>
      <c r="N26" s="922"/>
      <c r="O26" s="157"/>
      <c r="P26" s="157"/>
    </row>
    <row r="27" spans="1:16" s="125" customFormat="1">
      <c r="C27" s="179" t="str">
        <f>Koptame!C35</f>
        <v>Sertifikāta Nr.20-5643</v>
      </c>
      <c r="L27" s="179"/>
      <c r="M27" s="923" t="str">
        <f>Koptame!C41</f>
        <v>Sertifikāta Nr.10-0363</v>
      </c>
      <c r="N27" s="923"/>
      <c r="O27" s="157"/>
      <c r="P27" s="157"/>
    </row>
    <row r="28" spans="1:16" s="125" customFormat="1" collapsed="1">
      <c r="B28" s="146"/>
      <c r="F28" s="146"/>
      <c r="G28" s="146"/>
    </row>
  </sheetData>
  <mergeCells count="17">
    <mergeCell ref="A2:P2"/>
    <mergeCell ref="L9:O9"/>
    <mergeCell ref="A11:A12"/>
    <mergeCell ref="B11:B12"/>
    <mergeCell ref="C11:C12"/>
    <mergeCell ref="D11:D12"/>
    <mergeCell ref="E11:E12"/>
    <mergeCell ref="D3:P3"/>
    <mergeCell ref="D4:P4"/>
    <mergeCell ref="D5:P5"/>
    <mergeCell ref="F11:K11"/>
    <mergeCell ref="L11:P11"/>
    <mergeCell ref="C18:K18"/>
    <mergeCell ref="A22:P22"/>
    <mergeCell ref="A21:P21"/>
    <mergeCell ref="M26:N26"/>
    <mergeCell ref="M27:N27"/>
  </mergeCells>
  <printOptions horizontalCentered="1"/>
  <pageMargins left="0.27559055118110237" right="0.27559055118110237" top="0.74803149606299213" bottom="0.74803149606299213" header="0.31496062992125984" footer="0.31496062992125984"/>
  <pageSetup paperSize="9" scale="7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50"/>
  <sheetViews>
    <sheetView showZeros="0" view="pageBreakPreview" topLeftCell="A12" zoomScale="90" zoomScaleNormal="100" zoomScaleSheetLayoutView="90" workbookViewId="0">
      <selection activeCell="E18" sqref="E18:E19"/>
    </sheetView>
  </sheetViews>
  <sheetFormatPr defaultColWidth="9.125" defaultRowHeight="12.45"/>
  <cols>
    <col min="1" max="1" width="10.25" style="67" customWidth="1"/>
    <col min="2" max="2" width="12.75" style="67" customWidth="1"/>
    <col min="3" max="3" width="32.75" style="67" customWidth="1"/>
    <col min="4" max="4" width="10" style="67" customWidth="1"/>
    <col min="5" max="5" width="13.25" style="67" customWidth="1"/>
    <col min="6" max="6" width="13.75" style="67" customWidth="1"/>
    <col min="7" max="7" width="17.625" style="67" customWidth="1"/>
    <col min="8" max="8" width="12.875" style="67" customWidth="1"/>
    <col min="9" max="9" width="16" style="67" customWidth="1"/>
    <col min="10" max="16384" width="9.125" style="67"/>
  </cols>
  <sheetData>
    <row r="1" spans="1:9" ht="17.7">
      <c r="A1" s="66"/>
    </row>
    <row r="2" spans="1:9" ht="18" customHeight="1">
      <c r="A2" s="906" t="s">
        <v>91</v>
      </c>
      <c r="B2" s="906"/>
      <c r="C2" s="906"/>
      <c r="D2" s="906"/>
      <c r="E2" s="906"/>
      <c r="F2" s="906"/>
      <c r="G2" s="906"/>
      <c r="H2" s="906"/>
      <c r="I2" s="906"/>
    </row>
    <row r="3" spans="1:9" ht="17.7">
      <c r="C3" s="68"/>
      <c r="D3" s="69"/>
      <c r="F3" s="73"/>
      <c r="G3" s="73"/>
      <c r="H3" s="73"/>
      <c r="I3" s="73"/>
    </row>
    <row r="4" spans="1:9" ht="17.7">
      <c r="C4" s="68"/>
      <c r="D4" s="69"/>
      <c r="F4" s="73"/>
      <c r="G4" s="73"/>
      <c r="H4" s="73"/>
      <c r="I4" s="73"/>
    </row>
    <row r="5" spans="1:9">
      <c r="A5" s="72"/>
    </row>
    <row r="6" spans="1:9" ht="17.7">
      <c r="A6" s="897" t="str">
        <f>Koptame!C22</f>
        <v>Specializētie darbi-iekšējie tīkli, sistēmas</v>
      </c>
      <c r="B6" s="898"/>
      <c r="C6" s="898"/>
      <c r="D6" s="898"/>
      <c r="E6" s="898"/>
      <c r="F6" s="898"/>
      <c r="G6" s="898"/>
      <c r="H6" s="898"/>
      <c r="I6" s="899"/>
    </row>
    <row r="7" spans="1:9">
      <c r="A7" s="72"/>
    </row>
    <row r="8" spans="1:9" ht="15.05">
      <c r="A8" s="909" t="s">
        <v>9</v>
      </c>
      <c r="B8" s="909"/>
      <c r="C8" s="915" t="str">
        <f>Koptame!C11</f>
        <v>Ražošanas ēka</v>
      </c>
      <c r="D8" s="915"/>
      <c r="E8" s="915"/>
      <c r="F8" s="915"/>
      <c r="G8" s="915"/>
      <c r="H8" s="915"/>
      <c r="I8" s="915"/>
    </row>
    <row r="9" spans="1:9" ht="15.75" customHeight="1">
      <c r="A9" s="900" t="s">
        <v>27</v>
      </c>
      <c r="B9" s="900"/>
      <c r="C9" s="915" t="str">
        <f>Koptame!C12</f>
        <v>Ražošanas ēkas Nr.7 jaunbūve</v>
      </c>
      <c r="D9" s="915"/>
      <c r="E9" s="915"/>
      <c r="F9" s="915"/>
      <c r="G9" s="915"/>
      <c r="H9" s="915"/>
      <c r="I9" s="915"/>
    </row>
    <row r="10" spans="1:9" ht="15.05">
      <c r="A10" s="900" t="s">
        <v>10</v>
      </c>
      <c r="B10" s="900"/>
      <c r="C10" s="915" t="str">
        <f>Koptame!C13</f>
        <v>Ventspils, Ventspils Augsto tehnoloģiju parks</v>
      </c>
      <c r="D10" s="915"/>
      <c r="E10" s="915"/>
      <c r="F10" s="915"/>
      <c r="G10" s="915"/>
      <c r="H10" s="915"/>
      <c r="I10" s="915"/>
    </row>
    <row r="11" spans="1:9" ht="15.05">
      <c r="A11" s="900" t="str">
        <f>Koptame!B14</f>
        <v>Pasūtījuma Nr.</v>
      </c>
      <c r="B11" s="900"/>
      <c r="C11" s="98" t="str">
        <f>Koptame!C14</f>
        <v>2016-04</v>
      </c>
      <c r="D11" s="73"/>
      <c r="F11" s="74"/>
      <c r="G11" s="74"/>
      <c r="H11" s="74"/>
      <c r="I11" s="74"/>
    </row>
    <row r="12" spans="1:9" ht="15.05" customHeight="1">
      <c r="A12" s="163"/>
      <c r="B12" s="163"/>
      <c r="C12" s="73"/>
      <c r="D12" s="73"/>
      <c r="F12" s="74"/>
      <c r="G12" s="74"/>
      <c r="H12" s="74"/>
      <c r="I12" s="74"/>
    </row>
    <row r="13" spans="1:9" ht="18" customHeight="1">
      <c r="A13" s="75"/>
      <c r="F13" s="907" t="s">
        <v>63</v>
      </c>
      <c r="G13" s="908"/>
      <c r="H13" s="70">
        <f>E39</f>
        <v>1465471.81</v>
      </c>
      <c r="I13" s="71"/>
    </row>
    <row r="14" spans="1:9" ht="17.7">
      <c r="A14" s="75"/>
      <c r="F14" s="907" t="s">
        <v>14</v>
      </c>
      <c r="G14" s="908"/>
      <c r="H14" s="70">
        <f>I35</f>
        <v>26142.68</v>
      </c>
      <c r="I14" s="71"/>
    </row>
    <row r="15" spans="1:9" ht="14.4">
      <c r="G15" s="12" t="str">
        <f>Koptame!D16</f>
        <v>Tāme sastādīta:  2018.gada 19. februāris</v>
      </c>
    </row>
    <row r="16" spans="1:9" ht="14.4">
      <c r="G16" s="12"/>
    </row>
    <row r="17" spans="1:9" ht="15.05">
      <c r="A17" s="76"/>
    </row>
    <row r="18" spans="1:9" ht="51.05" customHeight="1">
      <c r="A18" s="901" t="s">
        <v>15</v>
      </c>
      <c r="B18" s="901" t="s">
        <v>16</v>
      </c>
      <c r="C18" s="902" t="s">
        <v>96</v>
      </c>
      <c r="D18" s="903"/>
      <c r="E18" s="901" t="s">
        <v>64</v>
      </c>
      <c r="F18" s="901" t="s">
        <v>17</v>
      </c>
      <c r="G18" s="901"/>
      <c r="H18" s="901"/>
      <c r="I18" s="901" t="s">
        <v>18</v>
      </c>
    </row>
    <row r="19" spans="1:9" ht="40.75" customHeight="1">
      <c r="A19" s="901"/>
      <c r="B19" s="901"/>
      <c r="C19" s="904"/>
      <c r="D19" s="905"/>
      <c r="E19" s="901"/>
      <c r="F19" s="162" t="s">
        <v>65</v>
      </c>
      <c r="G19" s="162" t="s">
        <v>66</v>
      </c>
      <c r="H19" s="162" t="s">
        <v>67</v>
      </c>
      <c r="I19" s="901"/>
    </row>
    <row r="20" spans="1:9" ht="17.7">
      <c r="A20" s="77"/>
      <c r="B20" s="78"/>
      <c r="C20" s="917"/>
      <c r="D20" s="918"/>
      <c r="E20" s="78"/>
      <c r="F20" s="78"/>
      <c r="G20" s="78"/>
      <c r="H20" s="78"/>
      <c r="I20" s="79"/>
    </row>
    <row r="21" spans="1:9" ht="13.1">
      <c r="A21" s="80">
        <v>1</v>
      </c>
      <c r="B21" s="81" t="s">
        <v>76</v>
      </c>
      <c r="C21" s="912" t="s">
        <v>43</v>
      </c>
      <c r="D21" s="913"/>
      <c r="E21" s="64">
        <f>'2,1'!Q114</f>
        <v>41394.970000000008</v>
      </c>
      <c r="F21" s="64">
        <f>'2,1'!N114</f>
        <v>18435.080000000002</v>
      </c>
      <c r="G21" s="64">
        <f>'2,1'!O114</f>
        <v>20194.480000000007</v>
      </c>
      <c r="H21" s="64">
        <f>'2,1'!P114</f>
        <v>2765.4100000000008</v>
      </c>
      <c r="I21" s="65">
        <f>'2,1'!M114</f>
        <v>1843.6899999999994</v>
      </c>
    </row>
    <row r="22" spans="1:9" ht="13.1">
      <c r="A22" s="80">
        <v>2</v>
      </c>
      <c r="B22" s="81" t="s">
        <v>77</v>
      </c>
      <c r="C22" s="912" t="s">
        <v>196</v>
      </c>
      <c r="D22" s="913"/>
      <c r="E22" s="64">
        <f>'2,2'!Q34</f>
        <v>16567.32</v>
      </c>
      <c r="F22" s="64">
        <f>'2,2'!N34</f>
        <v>8698</v>
      </c>
      <c r="G22" s="64">
        <f>'2,2'!O34</f>
        <v>6564.62</v>
      </c>
      <c r="H22" s="64">
        <f>'2,2'!P34</f>
        <v>1304.7000000000003</v>
      </c>
      <c r="I22" s="65">
        <f>'2,2'!M34</f>
        <v>869.8</v>
      </c>
    </row>
    <row r="23" spans="1:9" ht="13.1">
      <c r="A23" s="80">
        <v>3</v>
      </c>
      <c r="B23" s="81" t="s">
        <v>78</v>
      </c>
      <c r="C23" s="912" t="s">
        <v>217</v>
      </c>
      <c r="D23" s="913"/>
      <c r="E23" s="64">
        <f>'2,3'!Q106</f>
        <v>76464.709999999992</v>
      </c>
      <c r="F23" s="64">
        <f>'2,3'!N106</f>
        <v>24339.539999999997</v>
      </c>
      <c r="G23" s="64">
        <f>'2,3'!O106</f>
        <v>48464.169999999984</v>
      </c>
      <c r="H23" s="64">
        <f>'2,3'!P106</f>
        <v>3660.9999999999986</v>
      </c>
      <c r="I23" s="65">
        <f>'2,3'!M106</f>
        <v>2430.1100000000006</v>
      </c>
    </row>
    <row r="24" spans="1:9" ht="13.75" customHeight="1">
      <c r="A24" s="80">
        <v>4</v>
      </c>
      <c r="B24" s="81" t="s">
        <v>79</v>
      </c>
      <c r="C24" s="912" t="s">
        <v>310</v>
      </c>
      <c r="D24" s="913"/>
      <c r="E24" s="64">
        <f>'2,4'!Q143</f>
        <v>338955.06000000029</v>
      </c>
      <c r="F24" s="64">
        <f>'2,4'!N143</f>
        <v>37493.699999999997</v>
      </c>
      <c r="G24" s="64">
        <f>'2,4'!O143</f>
        <v>295837.25999999995</v>
      </c>
      <c r="H24" s="64">
        <f>'2,4'!P143</f>
        <v>5624.1000000000022</v>
      </c>
      <c r="I24" s="65">
        <f>'2,4'!M143</f>
        <v>3952.6499999999992</v>
      </c>
    </row>
    <row r="25" spans="1:9" ht="12.8" customHeight="1">
      <c r="A25" s="80">
        <v>5</v>
      </c>
      <c r="B25" s="81" t="s">
        <v>80</v>
      </c>
      <c r="C25" s="912" t="s">
        <v>414</v>
      </c>
      <c r="D25" s="913"/>
      <c r="E25" s="64">
        <f>'2,5'!Q79</f>
        <v>161466.20999999996</v>
      </c>
      <c r="F25" s="64">
        <f>'2,5'!N79</f>
        <v>16670.2</v>
      </c>
      <c r="G25" s="64">
        <f>'2,5'!O79</f>
        <v>142342.38999999996</v>
      </c>
      <c r="H25" s="64">
        <f>'2,5'!P79</f>
        <v>2453.6199999999994</v>
      </c>
      <c r="I25" s="65">
        <f>'2,5'!M79</f>
        <v>1678.23</v>
      </c>
    </row>
    <row r="26" spans="1:9" ht="12.8" customHeight="1">
      <c r="A26" s="80">
        <v>6</v>
      </c>
      <c r="B26" s="81" t="s">
        <v>81</v>
      </c>
      <c r="C26" s="912" t="s">
        <v>459</v>
      </c>
      <c r="D26" s="913"/>
      <c r="E26" s="64">
        <f>'2,6'!Q106</f>
        <v>21790.120000000003</v>
      </c>
      <c r="F26" s="64">
        <f>'2,6'!N106</f>
        <v>5283.5</v>
      </c>
      <c r="G26" s="64">
        <f>'2,6'!O106</f>
        <v>15706.679999999998</v>
      </c>
      <c r="H26" s="64">
        <f>'2,6'!P106</f>
        <v>799.94000000000028</v>
      </c>
      <c r="I26" s="65">
        <f>'2,6'!M106</f>
        <v>525.55000000000018</v>
      </c>
    </row>
    <row r="27" spans="1:9" ht="13.1">
      <c r="A27" s="80">
        <v>7</v>
      </c>
      <c r="B27" s="81" t="s">
        <v>82</v>
      </c>
      <c r="C27" s="912" t="s">
        <v>554</v>
      </c>
      <c r="D27" s="913"/>
      <c r="E27" s="64">
        <f>'2,7'!Q213</f>
        <v>440937.05</v>
      </c>
      <c r="F27" s="64">
        <f>'2,7'!N213</f>
        <v>76004.5</v>
      </c>
      <c r="G27" s="64">
        <f>'2,7'!O213</f>
        <v>356664.81999999983</v>
      </c>
      <c r="H27" s="64">
        <f>'2,7'!P213</f>
        <v>8267.730000000005</v>
      </c>
      <c r="I27" s="65">
        <f>'2,7'!M213</f>
        <v>7599.9500000000053</v>
      </c>
    </row>
    <row r="28" spans="1:9" ht="13.1">
      <c r="A28" s="80">
        <v>8</v>
      </c>
      <c r="B28" s="81" t="s">
        <v>83</v>
      </c>
      <c r="C28" s="912" t="s">
        <v>718</v>
      </c>
      <c r="D28" s="913"/>
      <c r="E28" s="64">
        <f>'2,8'!Q50</f>
        <v>43716.140000000007</v>
      </c>
      <c r="F28" s="64">
        <f>'2,8'!N50</f>
        <v>10328</v>
      </c>
      <c r="G28" s="64">
        <f>'2,8'!O50</f>
        <v>31838.93</v>
      </c>
      <c r="H28" s="64">
        <f>'2,8'!P50</f>
        <v>1549.21</v>
      </c>
      <c r="I28" s="65">
        <f>'2,8'!M50</f>
        <v>1032.8</v>
      </c>
    </row>
    <row r="29" spans="1:9" ht="13.1">
      <c r="A29" s="80">
        <v>9</v>
      </c>
      <c r="B29" s="81" t="s">
        <v>84</v>
      </c>
      <c r="C29" s="912" t="s">
        <v>1448</v>
      </c>
      <c r="D29" s="913"/>
      <c r="E29" s="64">
        <f>'2,9'!P21</f>
        <v>11917.390000000003</v>
      </c>
      <c r="F29" s="64">
        <f>'2,9'!M21</f>
        <v>637</v>
      </c>
      <c r="G29" s="64">
        <f>'2,9'!N21</f>
        <v>10646.16</v>
      </c>
      <c r="H29" s="64">
        <f>'2,9'!O21</f>
        <v>634.2299999999999</v>
      </c>
      <c r="I29" s="65">
        <f>'2,9'!L21</f>
        <v>63.699999999999996</v>
      </c>
    </row>
    <row r="30" spans="1:9" ht="13.1">
      <c r="A30" s="80">
        <v>10</v>
      </c>
      <c r="B30" s="81" t="s">
        <v>85</v>
      </c>
      <c r="C30" s="912" t="s">
        <v>767</v>
      </c>
      <c r="D30" s="913"/>
      <c r="E30" s="64">
        <f>'2,10'!Q40</f>
        <v>30601.86</v>
      </c>
      <c r="F30" s="64">
        <f>'2,10'!N40</f>
        <v>11673.5</v>
      </c>
      <c r="G30" s="64">
        <f>'2,10'!O40</f>
        <v>17177.330000000002</v>
      </c>
      <c r="H30" s="64">
        <f>'2,10'!P40</f>
        <v>1751.03</v>
      </c>
      <c r="I30" s="65">
        <f>'2,10'!M40</f>
        <v>1167.3499999999999</v>
      </c>
    </row>
    <row r="31" spans="1:9" ht="12.8" customHeight="1">
      <c r="A31" s="80">
        <v>11</v>
      </c>
      <c r="B31" s="81" t="s">
        <v>86</v>
      </c>
      <c r="C31" s="912" t="s">
        <v>806</v>
      </c>
      <c r="D31" s="913"/>
      <c r="E31" s="64">
        <f>'2,11'!Q22</f>
        <v>15395.699999999999</v>
      </c>
      <c r="F31" s="64">
        <f>'2,11'!N22</f>
        <v>1755</v>
      </c>
      <c r="G31" s="64">
        <f>'2,11'!O22</f>
        <v>13377.45</v>
      </c>
      <c r="H31" s="64">
        <f>'2,11'!P22</f>
        <v>263.25</v>
      </c>
      <c r="I31" s="65">
        <f>'2,11'!M22</f>
        <v>175.5</v>
      </c>
    </row>
    <row r="32" spans="1:9" ht="13.1">
      <c r="A32" s="80">
        <v>12</v>
      </c>
      <c r="B32" s="81" t="s">
        <v>1441</v>
      </c>
      <c r="C32" s="912" t="s">
        <v>814</v>
      </c>
      <c r="D32" s="913"/>
      <c r="E32" s="64">
        <f>'2,12'!Q48</f>
        <v>20667.63</v>
      </c>
      <c r="F32" s="64">
        <f>'2,12'!N48</f>
        <v>5915.32</v>
      </c>
      <c r="G32" s="64">
        <f>'2,12'!O48</f>
        <v>13865</v>
      </c>
      <c r="H32" s="64">
        <f>'2,12'!P48</f>
        <v>887.31000000000006</v>
      </c>
      <c r="I32" s="65">
        <f>'2,12'!M48</f>
        <v>993.67000000000007</v>
      </c>
    </row>
    <row r="33" spans="1:9" ht="13.1">
      <c r="A33" s="80">
        <v>13</v>
      </c>
      <c r="B33" s="81" t="s">
        <v>1478</v>
      </c>
      <c r="C33" s="936" t="s">
        <v>1479</v>
      </c>
      <c r="D33" s="937"/>
      <c r="E33" s="635">
        <f>'2,13'!Q97</f>
        <v>88582.809999999983</v>
      </c>
      <c r="F33" s="635">
        <f>'2,13'!N97</f>
        <v>38096.78</v>
      </c>
      <c r="G33" s="635">
        <f>'2,13'!O97</f>
        <v>44821.459999999992</v>
      </c>
      <c r="H33" s="635">
        <f>'2,13'!P97</f>
        <v>5664.5700000000015</v>
      </c>
      <c r="I33" s="636">
        <f>'2,13'!M97</f>
        <v>3809.68</v>
      </c>
    </row>
    <row r="34" spans="1:9" ht="13.1">
      <c r="A34" s="83"/>
      <c r="B34" s="84"/>
      <c r="C34" s="910"/>
      <c r="D34" s="911"/>
      <c r="E34" s="82"/>
      <c r="F34" s="82"/>
      <c r="G34" s="82"/>
      <c r="H34" s="82"/>
      <c r="I34" s="85"/>
    </row>
    <row r="35" spans="1:9" ht="16.55" customHeight="1">
      <c r="A35" s="161"/>
      <c r="B35" s="161"/>
      <c r="C35" s="86" t="s">
        <v>19</v>
      </c>
      <c r="D35" s="86"/>
      <c r="E35" s="87">
        <f>SUM(E21:E34)</f>
        <v>1308456.97</v>
      </c>
      <c r="F35" s="87">
        <f>SUM(F21:F34)</f>
        <v>255330.12</v>
      </c>
      <c r="G35" s="87">
        <f>SUM(G21:G34)</f>
        <v>1017500.7499999997</v>
      </c>
      <c r="H35" s="87">
        <f>SUM(H21:H34)</f>
        <v>35626.100000000006</v>
      </c>
      <c r="I35" s="87">
        <f>SUM(I21:I34)</f>
        <v>26142.68</v>
      </c>
    </row>
    <row r="36" spans="1:9" ht="15.05">
      <c r="A36" s="916" t="s">
        <v>42</v>
      </c>
      <c r="B36" s="916"/>
      <c r="C36" s="916"/>
      <c r="D36" s="88">
        <f>kops1!$D$34</f>
        <v>7.0000000000000007E-2</v>
      </c>
      <c r="E36" s="89">
        <f>ROUND(E35*D36,2)</f>
        <v>91591.99</v>
      </c>
    </row>
    <row r="37" spans="1:9" ht="15.75">
      <c r="A37" s="160"/>
      <c r="B37" s="160"/>
      <c r="C37" s="143" t="s">
        <v>53</v>
      </c>
      <c r="D37" s="88"/>
      <c r="E37" s="89">
        <f>E36*0.1</f>
        <v>9159.1990000000005</v>
      </c>
    </row>
    <row r="38" spans="1:9" ht="15.05">
      <c r="A38" s="916" t="s">
        <v>28</v>
      </c>
      <c r="B38" s="916"/>
      <c r="C38" s="916"/>
      <c r="D38" s="88">
        <f>kops1!$D$36</f>
        <v>0.05</v>
      </c>
      <c r="E38" s="89">
        <f>ROUND(E35*D38,2)</f>
        <v>65422.85</v>
      </c>
    </row>
    <row r="39" spans="1:9" ht="18" customHeight="1">
      <c r="A39" s="914"/>
      <c r="B39" s="914"/>
      <c r="C39" s="86" t="s">
        <v>20</v>
      </c>
      <c r="D39" s="86"/>
      <c r="E39" s="90">
        <f>E38+E36+E35</f>
        <v>1465471.81</v>
      </c>
    </row>
    <row r="40" spans="1:9" ht="17.7">
      <c r="A40" s="91"/>
    </row>
    <row r="41" spans="1:9" ht="17.7">
      <c r="A41" s="91"/>
    </row>
    <row r="42" spans="1:9" ht="14.4">
      <c r="A42" s="92"/>
      <c r="B42" s="2" t="s">
        <v>8</v>
      </c>
      <c r="C42" s="3"/>
      <c r="F42" s="74"/>
    </row>
    <row r="43" spans="1:9" ht="14.4">
      <c r="A43" s="74"/>
      <c r="B43" s="3"/>
      <c r="C43" s="164" t="str">
        <f>Koptame!C34</f>
        <v>Arnis Gailītis</v>
      </c>
      <c r="D43" s="93"/>
      <c r="E43" s="93"/>
      <c r="F43" s="74"/>
    </row>
    <row r="44" spans="1:9" ht="14.4">
      <c r="A44" s="94"/>
      <c r="B44" s="2"/>
      <c r="C44" s="165" t="str">
        <f>Koptame!C35</f>
        <v>Sertifikāta Nr.20-5643</v>
      </c>
      <c r="D44" s="74"/>
      <c r="E44" s="74"/>
      <c r="F44" s="74"/>
    </row>
    <row r="45" spans="1:9" ht="14.4">
      <c r="B45" s="2"/>
      <c r="C45" s="165"/>
    </row>
    <row r="46" spans="1:9" ht="14.4">
      <c r="B46" s="2"/>
      <c r="C46" s="165"/>
    </row>
    <row r="47" spans="1:9" ht="14.4">
      <c r="B47" s="4"/>
      <c r="C47" s="1"/>
    </row>
    <row r="48" spans="1:9" ht="14.4">
      <c r="B48" s="2" t="str">
        <f>Koptame!B39</f>
        <v>Pārbaudīja:</v>
      </c>
      <c r="C48" s="124"/>
    </row>
    <row r="49" spans="2:3" ht="14.4">
      <c r="B49" s="3"/>
      <c r="C49" s="164" t="str">
        <f>Koptame!C40</f>
        <v>Dzintra Cīrule</v>
      </c>
    </row>
    <row r="50" spans="2:3" ht="14.4">
      <c r="B50" s="2"/>
      <c r="C50" s="165" t="str">
        <f>Koptame!C41</f>
        <v>Sertifikāta Nr.10-0363</v>
      </c>
    </row>
  </sheetData>
  <mergeCells count="35">
    <mergeCell ref="A38:C38"/>
    <mergeCell ref="A39:B39"/>
    <mergeCell ref="C34:D34"/>
    <mergeCell ref="A36:C36"/>
    <mergeCell ref="C25:D25"/>
    <mergeCell ref="C26:D26"/>
    <mergeCell ref="C27:D27"/>
    <mergeCell ref="C28:D28"/>
    <mergeCell ref="C30:D30"/>
    <mergeCell ref="C31:D31"/>
    <mergeCell ref="C32:D32"/>
    <mergeCell ref="C29:D29"/>
    <mergeCell ref="C33:D33"/>
    <mergeCell ref="C24:D24"/>
    <mergeCell ref="A10:B10"/>
    <mergeCell ref="C10:I10"/>
    <mergeCell ref="A11:B11"/>
    <mergeCell ref="F13:G13"/>
    <mergeCell ref="F14:G14"/>
    <mergeCell ref="A18:A19"/>
    <mergeCell ref="B18:B19"/>
    <mergeCell ref="C18:D19"/>
    <mergeCell ref="E18:E19"/>
    <mergeCell ref="F18:H18"/>
    <mergeCell ref="I18:I19"/>
    <mergeCell ref="C20:D20"/>
    <mergeCell ref="C21:D21"/>
    <mergeCell ref="C22:D22"/>
    <mergeCell ref="C23:D23"/>
    <mergeCell ref="A2:I2"/>
    <mergeCell ref="A6:I6"/>
    <mergeCell ref="A8:B8"/>
    <mergeCell ref="C8:I8"/>
    <mergeCell ref="A9:B9"/>
    <mergeCell ref="C9:I9"/>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124"/>
  <sheetViews>
    <sheetView showZeros="0" view="pageBreakPreview" topLeftCell="A97" zoomScaleNormal="80" zoomScaleSheetLayoutView="100" workbookViewId="0">
      <selection activeCell="A14" sqref="A14:K112"/>
    </sheetView>
  </sheetViews>
  <sheetFormatPr defaultColWidth="9.125" defaultRowHeight="14.4"/>
  <cols>
    <col min="1" max="1" width="9" style="19" customWidth="1"/>
    <col min="2" max="2" width="9.375" style="56" customWidth="1"/>
    <col min="3" max="3" width="40.25" style="19" customWidth="1"/>
    <col min="4" max="4" width="8.875" style="19" customWidth="1"/>
    <col min="5" max="5" width="8.125" style="19" customWidth="1"/>
    <col min="6" max="6" width="9.125" style="19"/>
    <col min="7" max="8" width="9.125" style="56"/>
    <col min="9" max="12" width="9.125" style="19"/>
    <col min="13" max="13" width="14.37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B1" s="53"/>
      <c r="F1" s="21"/>
      <c r="G1" s="118"/>
      <c r="H1" s="180" t="s">
        <v>92</v>
      </c>
      <c r="I1" s="121" t="str">
        <f>kops2!B21</f>
        <v>2,1</v>
      </c>
    </row>
    <row r="2" spans="1:17" s="24" customFormat="1">
      <c r="A2" s="919" t="str">
        <f>C13</f>
        <v>Iekšējais ūdensvads</v>
      </c>
      <c r="B2" s="919"/>
      <c r="C2" s="919"/>
      <c r="D2" s="919"/>
      <c r="E2" s="919"/>
      <c r="F2" s="919"/>
      <c r="G2" s="919"/>
      <c r="H2" s="919"/>
      <c r="I2" s="919"/>
      <c r="J2" s="919"/>
      <c r="K2" s="919"/>
      <c r="L2" s="919"/>
      <c r="M2" s="919"/>
      <c r="N2" s="919"/>
      <c r="O2" s="919"/>
      <c r="P2" s="919"/>
      <c r="Q2" s="919"/>
    </row>
    <row r="3" spans="1:17">
      <c r="A3" s="20"/>
      <c r="B3" s="112"/>
      <c r="C3" s="20" t="s">
        <v>11</v>
      </c>
      <c r="D3" s="20"/>
      <c r="E3" s="921" t="str">
        <f>Koptame!C11</f>
        <v>Ražošanas ēka</v>
      </c>
      <c r="F3" s="921"/>
      <c r="G3" s="921"/>
      <c r="H3" s="921"/>
      <c r="I3" s="921"/>
      <c r="J3" s="921"/>
      <c r="K3" s="921"/>
      <c r="L3" s="921"/>
      <c r="M3" s="921"/>
      <c r="N3" s="921"/>
      <c r="O3" s="921"/>
      <c r="P3" s="921"/>
      <c r="Q3" s="921"/>
    </row>
    <row r="4" spans="1:17">
      <c r="A4" s="20"/>
      <c r="B4" s="112"/>
      <c r="C4" s="20" t="s">
        <v>12</v>
      </c>
      <c r="D4" s="20"/>
      <c r="E4" s="921" t="str">
        <f>Koptame!C12</f>
        <v>Ražošanas ēkas Nr.7 jaunbūve</v>
      </c>
      <c r="F4" s="921"/>
      <c r="G4" s="921"/>
      <c r="H4" s="921"/>
      <c r="I4" s="921"/>
      <c r="J4" s="921"/>
      <c r="K4" s="921"/>
      <c r="L4" s="921"/>
      <c r="M4" s="921"/>
      <c r="N4" s="921"/>
      <c r="O4" s="921"/>
      <c r="P4" s="921"/>
      <c r="Q4" s="921"/>
    </row>
    <row r="5" spans="1:17">
      <c r="A5" s="20"/>
      <c r="B5" s="112"/>
      <c r="C5" s="20" t="s">
        <v>13</v>
      </c>
      <c r="D5" s="20"/>
      <c r="E5" s="921" t="str">
        <f>Koptame!C13</f>
        <v>Ventspils, Ventspils Augsto tehnoloģiju parks</v>
      </c>
      <c r="F5" s="921"/>
      <c r="G5" s="921"/>
      <c r="H5" s="921"/>
      <c r="I5" s="921"/>
      <c r="J5" s="921"/>
      <c r="K5" s="921"/>
      <c r="L5" s="921"/>
      <c r="M5" s="921"/>
      <c r="N5" s="921"/>
      <c r="O5" s="921"/>
      <c r="P5" s="921"/>
      <c r="Q5" s="921"/>
    </row>
    <row r="6" spans="1:17">
      <c r="A6" s="20"/>
      <c r="B6" s="112"/>
      <c r="C6" s="20" t="str">
        <f>Koptame!B14</f>
        <v>Pasūtījuma Nr.</v>
      </c>
      <c r="D6" s="20"/>
      <c r="E6" s="22" t="str">
        <f>Koptame!C14</f>
        <v>2016-04</v>
      </c>
      <c r="F6" s="43"/>
      <c r="G6" s="54"/>
      <c r="H6" s="54"/>
      <c r="I6" s="43"/>
      <c r="J6" s="43"/>
      <c r="K6" s="43"/>
      <c r="L6" s="43"/>
      <c r="M6" s="43"/>
      <c r="N6" s="43"/>
      <c r="O6" s="43"/>
      <c r="P6" s="43"/>
      <c r="Q6" s="25"/>
    </row>
    <row r="7" spans="1:17">
      <c r="A7" s="3" t="str">
        <f>Koptame!B17</f>
        <v>Tāme sastādīta 2018.gada tirgus cenās, pamatojoties uz SIA „Baltex Group” būvprojekta rasējumiem un darbu apjomiem</v>
      </c>
      <c r="B7" s="113"/>
      <c r="E7" s="22"/>
      <c r="F7" s="22"/>
      <c r="G7" s="55"/>
      <c r="H7" s="55"/>
      <c r="I7" s="22"/>
      <c r="J7" s="22"/>
      <c r="K7" s="22"/>
      <c r="L7" s="43"/>
      <c r="M7" s="43"/>
      <c r="N7" s="43"/>
      <c r="O7" s="43"/>
      <c r="P7" s="20" t="s">
        <v>87</v>
      </c>
      <c r="Q7" s="26">
        <f>Q114</f>
        <v>41394.970000000008</v>
      </c>
    </row>
    <row r="8" spans="1:17">
      <c r="A8" s="23"/>
      <c r="B8" s="112"/>
      <c r="E8" s="27"/>
      <c r="F8" s="43"/>
      <c r="G8" s="54"/>
      <c r="H8" s="54"/>
      <c r="I8" s="43"/>
      <c r="J8" s="43"/>
      <c r="K8" s="43"/>
      <c r="L8" s="43"/>
      <c r="O8" s="43"/>
      <c r="P8" s="43"/>
      <c r="Q8" s="25"/>
    </row>
    <row r="9" spans="1:17" ht="15.05" customHeight="1">
      <c r="A9" s="45"/>
      <c r="B9" s="114"/>
      <c r="K9" s="44"/>
      <c r="L9" s="44"/>
      <c r="M9" s="920" t="str">
        <f>Koptame!D16</f>
        <v>Tāme sastādīta:  2018.gada 19. februāris</v>
      </c>
      <c r="N9" s="920"/>
      <c r="O9" s="920"/>
      <c r="P9" s="920"/>
      <c r="Q9" s="44"/>
    </row>
    <row r="10" spans="1:17" ht="15.05">
      <c r="A10" s="45"/>
      <c r="B10" s="114"/>
    </row>
    <row r="11" spans="1:17" ht="14.25" customHeight="1">
      <c r="A11" s="927" t="s">
        <v>15</v>
      </c>
      <c r="B11" s="928" t="s">
        <v>21</v>
      </c>
      <c r="C11" s="940" t="s">
        <v>97</v>
      </c>
      <c r="D11" s="941"/>
      <c r="E11" s="931" t="s">
        <v>22</v>
      </c>
      <c r="F11" s="927" t="s">
        <v>23</v>
      </c>
      <c r="G11" s="924" t="s">
        <v>24</v>
      </c>
      <c r="H11" s="924"/>
      <c r="I11" s="924"/>
      <c r="J11" s="924"/>
      <c r="K11" s="924"/>
      <c r="L11" s="924"/>
      <c r="M11" s="924" t="s">
        <v>25</v>
      </c>
      <c r="N11" s="924"/>
      <c r="O11" s="924"/>
      <c r="P11" s="924"/>
      <c r="Q11" s="924"/>
    </row>
    <row r="12" spans="1:17" ht="73.5" customHeight="1" thickBot="1">
      <c r="A12" s="934"/>
      <c r="B12" s="938"/>
      <c r="C12" s="942"/>
      <c r="D12" s="943"/>
      <c r="E12" s="939"/>
      <c r="F12" s="934"/>
      <c r="G12" s="205" t="s">
        <v>26</v>
      </c>
      <c r="H12" s="205" t="s">
        <v>58</v>
      </c>
      <c r="I12" s="205" t="s">
        <v>59</v>
      </c>
      <c r="J12" s="205" t="s">
        <v>95</v>
      </c>
      <c r="K12" s="205" t="s">
        <v>60</v>
      </c>
      <c r="L12" s="205" t="s">
        <v>61</v>
      </c>
      <c r="M12" s="205" t="s">
        <v>18</v>
      </c>
      <c r="N12" s="205" t="s">
        <v>59</v>
      </c>
      <c r="O12" s="205" t="s">
        <v>95</v>
      </c>
      <c r="P12" s="205" t="s">
        <v>60</v>
      </c>
      <c r="Q12" s="205" t="s">
        <v>62</v>
      </c>
    </row>
    <row r="13" spans="1:17" ht="15.75" thickBot="1">
      <c r="A13" s="231"/>
      <c r="B13" s="232"/>
      <c r="C13" s="944" t="str">
        <f>kops2!C21</f>
        <v>Iekšējais ūdensvads</v>
      </c>
      <c r="D13" s="945"/>
      <c r="E13" s="233"/>
      <c r="F13" s="234"/>
      <c r="G13" s="235"/>
      <c r="H13" s="204"/>
      <c r="I13" s="204"/>
      <c r="J13" s="236"/>
      <c r="K13" s="236"/>
      <c r="L13" s="236">
        <f t="shared" ref="L13" si="0">SUM(I13:K13)</f>
        <v>0</v>
      </c>
      <c r="M13" s="237">
        <f t="shared" ref="M13" si="1">ROUND(G13*F13,2)</f>
        <v>0</v>
      </c>
      <c r="N13" s="236">
        <f t="shared" ref="N13" si="2">ROUND(I13*F13,2)</f>
        <v>0</v>
      </c>
      <c r="O13" s="236">
        <f t="shared" ref="O13" si="3">ROUND(J13*F13,2)</f>
        <v>0</v>
      </c>
      <c r="P13" s="236">
        <f t="shared" ref="P13" si="4">ROUND(K13*F13,2)</f>
        <v>0</v>
      </c>
      <c r="Q13" s="236">
        <f t="shared" ref="Q13" si="5">SUM(N13:P13)</f>
        <v>0</v>
      </c>
    </row>
    <row r="14" spans="1:17" s="56" customFormat="1" ht="15.05" thickBot="1">
      <c r="A14" s="693"/>
      <c r="B14" s="238"/>
      <c r="C14" s="218" t="s">
        <v>108</v>
      </c>
      <c r="D14" s="218"/>
      <c r="E14" s="219"/>
      <c r="F14" s="239"/>
      <c r="G14" s="240">
        <v>0</v>
      </c>
      <c r="H14" s="240">
        <v>0</v>
      </c>
      <c r="I14" s="694"/>
      <c r="J14" s="694"/>
      <c r="K14" s="694"/>
      <c r="L14" s="195">
        <v>0</v>
      </c>
      <c r="M14" s="195">
        <v>0</v>
      </c>
      <c r="N14" s="195">
        <v>0</v>
      </c>
      <c r="O14" s="195">
        <v>0</v>
      </c>
      <c r="P14" s="195">
        <v>0</v>
      </c>
      <c r="Q14" s="195">
        <v>0</v>
      </c>
    </row>
    <row r="15" spans="1:17" s="56" customFormat="1">
      <c r="A15" s="693">
        <v>1</v>
      </c>
      <c r="B15" s="238"/>
      <c r="C15" s="224" t="s">
        <v>109</v>
      </c>
      <c r="D15" s="224" t="s">
        <v>110</v>
      </c>
      <c r="E15" s="219" t="s">
        <v>111</v>
      </c>
      <c r="F15" s="311">
        <v>15</v>
      </c>
      <c r="G15" s="240">
        <v>0.75</v>
      </c>
      <c r="H15" s="240">
        <v>10</v>
      </c>
      <c r="I15" s="694">
        <v>7.5</v>
      </c>
      <c r="J15" s="694">
        <v>6.51</v>
      </c>
      <c r="K15" s="694">
        <v>1.125</v>
      </c>
      <c r="L15" s="102">
        <f t="shared" ref="L15:L46" si="6">SUM(I15:K15)</f>
        <v>15.135</v>
      </c>
      <c r="M15" s="50">
        <f t="shared" ref="M15:M78" si="7">ROUND(G15*F15,2)</f>
        <v>11.25</v>
      </c>
      <c r="N15" s="102">
        <f t="shared" ref="N15:N46" si="8">ROUND(I15*F15,2)</f>
        <v>112.5</v>
      </c>
      <c r="O15" s="102">
        <f t="shared" ref="O15:O46" si="9">ROUND(J15*F15,2)</f>
        <v>97.65</v>
      </c>
      <c r="P15" s="102">
        <f t="shared" ref="P15:P46" si="10">ROUND(K15*F15,2)</f>
        <v>16.88</v>
      </c>
      <c r="Q15" s="103">
        <f t="shared" ref="Q15:Q46" si="11">SUM(N15:P15)</f>
        <v>227.03</v>
      </c>
    </row>
    <row r="16" spans="1:17" s="56" customFormat="1">
      <c r="A16" s="693">
        <v>2</v>
      </c>
      <c r="B16" s="238"/>
      <c r="C16" s="224" t="s">
        <v>109</v>
      </c>
      <c r="D16" s="224" t="s">
        <v>112</v>
      </c>
      <c r="E16" s="219" t="s">
        <v>111</v>
      </c>
      <c r="F16" s="311">
        <v>230</v>
      </c>
      <c r="G16" s="240">
        <v>0.75</v>
      </c>
      <c r="H16" s="240">
        <v>10</v>
      </c>
      <c r="I16" s="694">
        <v>7.5</v>
      </c>
      <c r="J16" s="694">
        <v>3.31</v>
      </c>
      <c r="K16" s="694">
        <v>1.125</v>
      </c>
      <c r="L16" s="102">
        <f t="shared" si="6"/>
        <v>11.935</v>
      </c>
      <c r="M16" s="50">
        <f t="shared" si="7"/>
        <v>172.5</v>
      </c>
      <c r="N16" s="102">
        <f t="shared" si="8"/>
        <v>1725</v>
      </c>
      <c r="O16" s="102">
        <f t="shared" si="9"/>
        <v>761.3</v>
      </c>
      <c r="P16" s="102">
        <f t="shared" si="10"/>
        <v>258.75</v>
      </c>
      <c r="Q16" s="103">
        <f t="shared" si="11"/>
        <v>2745.05</v>
      </c>
    </row>
    <row r="17" spans="1:17" s="56" customFormat="1">
      <c r="A17" s="693">
        <v>3</v>
      </c>
      <c r="B17" s="238"/>
      <c r="C17" s="224" t="s">
        <v>109</v>
      </c>
      <c r="D17" s="224" t="s">
        <v>113</v>
      </c>
      <c r="E17" s="219" t="s">
        <v>111</v>
      </c>
      <c r="F17" s="311">
        <v>8</v>
      </c>
      <c r="G17" s="240">
        <v>0.75</v>
      </c>
      <c r="H17" s="240">
        <v>10</v>
      </c>
      <c r="I17" s="694">
        <v>7.5</v>
      </c>
      <c r="J17" s="694">
        <v>1.99</v>
      </c>
      <c r="K17" s="694">
        <v>1.125</v>
      </c>
      <c r="L17" s="102">
        <f t="shared" si="6"/>
        <v>10.615</v>
      </c>
      <c r="M17" s="50">
        <f t="shared" si="7"/>
        <v>6</v>
      </c>
      <c r="N17" s="102">
        <f t="shared" si="8"/>
        <v>60</v>
      </c>
      <c r="O17" s="102">
        <f t="shared" si="9"/>
        <v>15.92</v>
      </c>
      <c r="P17" s="102">
        <f t="shared" si="10"/>
        <v>9</v>
      </c>
      <c r="Q17" s="103">
        <f t="shared" si="11"/>
        <v>84.92</v>
      </c>
    </row>
    <row r="18" spans="1:17" s="56" customFormat="1">
      <c r="A18" s="693">
        <v>4</v>
      </c>
      <c r="B18" s="238"/>
      <c r="C18" s="224" t="s">
        <v>109</v>
      </c>
      <c r="D18" s="224" t="s">
        <v>114</v>
      </c>
      <c r="E18" s="219" t="s">
        <v>111</v>
      </c>
      <c r="F18" s="311">
        <v>145</v>
      </c>
      <c r="G18" s="240">
        <v>0.75</v>
      </c>
      <c r="H18" s="240">
        <v>10</v>
      </c>
      <c r="I18" s="694">
        <v>7.5</v>
      </c>
      <c r="J18" s="694">
        <v>1.19</v>
      </c>
      <c r="K18" s="694">
        <v>1.125</v>
      </c>
      <c r="L18" s="102">
        <f t="shared" si="6"/>
        <v>9.8149999999999995</v>
      </c>
      <c r="M18" s="50">
        <f t="shared" si="7"/>
        <v>108.75</v>
      </c>
      <c r="N18" s="102">
        <f t="shared" si="8"/>
        <v>1087.5</v>
      </c>
      <c r="O18" s="102">
        <f t="shared" si="9"/>
        <v>172.55</v>
      </c>
      <c r="P18" s="102">
        <f t="shared" si="10"/>
        <v>163.13</v>
      </c>
      <c r="Q18" s="103">
        <f t="shared" si="11"/>
        <v>1423.1799999999998</v>
      </c>
    </row>
    <row r="19" spans="1:17" s="56" customFormat="1">
      <c r="A19" s="693">
        <v>5</v>
      </c>
      <c r="B19" s="238"/>
      <c r="C19" s="224" t="s">
        <v>109</v>
      </c>
      <c r="D19" s="224" t="s">
        <v>115</v>
      </c>
      <c r="E19" s="219" t="s">
        <v>111</v>
      </c>
      <c r="F19" s="311">
        <v>38</v>
      </c>
      <c r="G19" s="240">
        <v>0.75</v>
      </c>
      <c r="H19" s="240">
        <v>10</v>
      </c>
      <c r="I19" s="694">
        <v>7.5</v>
      </c>
      <c r="J19" s="694">
        <v>0.84</v>
      </c>
      <c r="K19" s="694">
        <v>1.125</v>
      </c>
      <c r="L19" s="102">
        <f t="shared" si="6"/>
        <v>9.4649999999999999</v>
      </c>
      <c r="M19" s="50">
        <f t="shared" si="7"/>
        <v>28.5</v>
      </c>
      <c r="N19" s="102">
        <f t="shared" si="8"/>
        <v>285</v>
      </c>
      <c r="O19" s="102">
        <f t="shared" si="9"/>
        <v>31.92</v>
      </c>
      <c r="P19" s="102">
        <f t="shared" si="10"/>
        <v>42.75</v>
      </c>
      <c r="Q19" s="103">
        <f t="shared" si="11"/>
        <v>359.67</v>
      </c>
    </row>
    <row r="20" spans="1:17" s="56" customFormat="1">
      <c r="A20" s="693">
        <v>6</v>
      </c>
      <c r="B20" s="238"/>
      <c r="C20" s="224" t="s">
        <v>116</v>
      </c>
      <c r="D20" s="224" t="s">
        <v>117</v>
      </c>
      <c r="E20" s="219" t="s">
        <v>118</v>
      </c>
      <c r="F20" s="311">
        <v>1</v>
      </c>
      <c r="G20" s="240">
        <v>0.65</v>
      </c>
      <c r="H20" s="240">
        <v>10</v>
      </c>
      <c r="I20" s="694">
        <v>6.5</v>
      </c>
      <c r="J20" s="694">
        <v>9.49</v>
      </c>
      <c r="K20" s="694">
        <v>0.97499999999999998</v>
      </c>
      <c r="L20" s="102">
        <f t="shared" si="6"/>
        <v>16.965</v>
      </c>
      <c r="M20" s="50">
        <f t="shared" si="7"/>
        <v>0.65</v>
      </c>
      <c r="N20" s="102">
        <f t="shared" si="8"/>
        <v>6.5</v>
      </c>
      <c r="O20" s="102">
        <f t="shared" si="9"/>
        <v>9.49</v>
      </c>
      <c r="P20" s="102">
        <f t="shared" si="10"/>
        <v>0.98</v>
      </c>
      <c r="Q20" s="103">
        <f t="shared" si="11"/>
        <v>16.97</v>
      </c>
    </row>
    <row r="21" spans="1:17" s="56" customFormat="1">
      <c r="A21" s="693">
        <v>7</v>
      </c>
      <c r="B21" s="238"/>
      <c r="C21" s="224" t="s">
        <v>119</v>
      </c>
      <c r="D21" s="224" t="s">
        <v>120</v>
      </c>
      <c r="E21" s="219" t="s">
        <v>118</v>
      </c>
      <c r="F21" s="311">
        <v>8</v>
      </c>
      <c r="G21" s="240">
        <v>0.65</v>
      </c>
      <c r="H21" s="240">
        <v>10</v>
      </c>
      <c r="I21" s="694">
        <v>6.5</v>
      </c>
      <c r="J21" s="694">
        <v>8.39</v>
      </c>
      <c r="K21" s="694">
        <v>0.97499999999999998</v>
      </c>
      <c r="L21" s="102">
        <f t="shared" si="6"/>
        <v>15.865</v>
      </c>
      <c r="M21" s="50">
        <f t="shared" si="7"/>
        <v>5.2</v>
      </c>
      <c r="N21" s="102">
        <f t="shared" si="8"/>
        <v>52</v>
      </c>
      <c r="O21" s="102">
        <f t="shared" si="9"/>
        <v>67.12</v>
      </c>
      <c r="P21" s="102">
        <f t="shared" si="10"/>
        <v>7.8</v>
      </c>
      <c r="Q21" s="103">
        <f t="shared" si="11"/>
        <v>126.92</v>
      </c>
    </row>
    <row r="22" spans="1:17" s="56" customFormat="1">
      <c r="A22" s="693">
        <v>8</v>
      </c>
      <c r="B22" s="238"/>
      <c r="C22" s="224" t="s">
        <v>121</v>
      </c>
      <c r="D22" s="224" t="s">
        <v>122</v>
      </c>
      <c r="E22" s="219" t="s">
        <v>118</v>
      </c>
      <c r="F22" s="311">
        <v>1</v>
      </c>
      <c r="G22" s="240">
        <v>0.65</v>
      </c>
      <c r="H22" s="240">
        <v>10</v>
      </c>
      <c r="I22" s="694">
        <v>6.5</v>
      </c>
      <c r="J22" s="694">
        <v>5.04</v>
      </c>
      <c r="K22" s="694">
        <v>0.97499999999999998</v>
      </c>
      <c r="L22" s="102">
        <f t="shared" si="6"/>
        <v>12.514999999999999</v>
      </c>
      <c r="M22" s="50">
        <f t="shared" si="7"/>
        <v>0.65</v>
      </c>
      <c r="N22" s="102">
        <f t="shared" si="8"/>
        <v>6.5</v>
      </c>
      <c r="O22" s="102">
        <f t="shared" si="9"/>
        <v>5.04</v>
      </c>
      <c r="P22" s="102">
        <f t="shared" si="10"/>
        <v>0.98</v>
      </c>
      <c r="Q22" s="103">
        <f t="shared" si="11"/>
        <v>12.52</v>
      </c>
    </row>
    <row r="23" spans="1:17" s="56" customFormat="1">
      <c r="A23" s="693">
        <v>9</v>
      </c>
      <c r="B23" s="238"/>
      <c r="C23" s="224" t="s">
        <v>123</v>
      </c>
      <c r="D23" s="224" t="s">
        <v>124</v>
      </c>
      <c r="E23" s="219" t="s">
        <v>118</v>
      </c>
      <c r="F23" s="311">
        <v>6</v>
      </c>
      <c r="G23" s="240">
        <v>0.65</v>
      </c>
      <c r="H23" s="240">
        <v>10</v>
      </c>
      <c r="I23" s="694">
        <v>6.5</v>
      </c>
      <c r="J23" s="694">
        <v>3.17</v>
      </c>
      <c r="K23" s="694">
        <v>0.97499999999999998</v>
      </c>
      <c r="L23" s="102">
        <f t="shared" si="6"/>
        <v>10.645</v>
      </c>
      <c r="M23" s="50">
        <f t="shared" si="7"/>
        <v>3.9</v>
      </c>
      <c r="N23" s="102">
        <f t="shared" si="8"/>
        <v>39</v>
      </c>
      <c r="O23" s="102">
        <f t="shared" si="9"/>
        <v>19.02</v>
      </c>
      <c r="P23" s="102">
        <f t="shared" si="10"/>
        <v>5.85</v>
      </c>
      <c r="Q23" s="103">
        <f t="shared" si="11"/>
        <v>63.87</v>
      </c>
    </row>
    <row r="24" spans="1:17" s="56" customFormat="1">
      <c r="A24" s="693">
        <v>10</v>
      </c>
      <c r="B24" s="238"/>
      <c r="C24" s="224" t="s">
        <v>125</v>
      </c>
      <c r="D24" s="224" t="s">
        <v>117</v>
      </c>
      <c r="E24" s="219" t="s">
        <v>118</v>
      </c>
      <c r="F24" s="311">
        <v>1</v>
      </c>
      <c r="G24" s="240">
        <v>0.65</v>
      </c>
      <c r="H24" s="240">
        <v>10</v>
      </c>
      <c r="I24" s="694">
        <v>6.5</v>
      </c>
      <c r="J24" s="694">
        <v>8.52</v>
      </c>
      <c r="K24" s="694">
        <v>0.97499999999999998</v>
      </c>
      <c r="L24" s="102">
        <f t="shared" si="6"/>
        <v>15.994999999999999</v>
      </c>
      <c r="M24" s="50">
        <f t="shared" si="7"/>
        <v>0.65</v>
      </c>
      <c r="N24" s="102">
        <f t="shared" si="8"/>
        <v>6.5</v>
      </c>
      <c r="O24" s="102">
        <f t="shared" si="9"/>
        <v>8.52</v>
      </c>
      <c r="P24" s="102">
        <f t="shared" si="10"/>
        <v>0.98</v>
      </c>
      <c r="Q24" s="103">
        <f t="shared" si="11"/>
        <v>16</v>
      </c>
    </row>
    <row r="25" spans="1:17" s="56" customFormat="1">
      <c r="A25" s="693">
        <v>11</v>
      </c>
      <c r="B25" s="238"/>
      <c r="C25" s="224" t="s">
        <v>126</v>
      </c>
      <c r="D25" s="224" t="s">
        <v>124</v>
      </c>
      <c r="E25" s="219" t="s">
        <v>118</v>
      </c>
      <c r="F25" s="311">
        <v>7</v>
      </c>
      <c r="G25" s="240">
        <v>0.65</v>
      </c>
      <c r="H25" s="240">
        <v>10</v>
      </c>
      <c r="I25" s="694">
        <v>6.5</v>
      </c>
      <c r="J25" s="694">
        <v>4.07</v>
      </c>
      <c r="K25" s="694">
        <v>0.97499999999999998</v>
      </c>
      <c r="L25" s="102">
        <f t="shared" si="6"/>
        <v>11.545</v>
      </c>
      <c r="M25" s="50">
        <f t="shared" si="7"/>
        <v>4.55</v>
      </c>
      <c r="N25" s="102">
        <f t="shared" si="8"/>
        <v>45.5</v>
      </c>
      <c r="O25" s="102">
        <f t="shared" si="9"/>
        <v>28.49</v>
      </c>
      <c r="P25" s="102">
        <f t="shared" si="10"/>
        <v>6.83</v>
      </c>
      <c r="Q25" s="103">
        <f t="shared" si="11"/>
        <v>80.819999999999993</v>
      </c>
    </row>
    <row r="26" spans="1:17" s="56" customFormat="1">
      <c r="A26" s="693">
        <v>12</v>
      </c>
      <c r="B26" s="238"/>
      <c r="C26" s="224" t="s">
        <v>127</v>
      </c>
      <c r="D26" s="224" t="s">
        <v>124</v>
      </c>
      <c r="E26" s="219" t="s">
        <v>118</v>
      </c>
      <c r="F26" s="311">
        <v>34</v>
      </c>
      <c r="G26" s="240">
        <v>0.65</v>
      </c>
      <c r="H26" s="240">
        <v>10</v>
      </c>
      <c r="I26" s="694">
        <v>6.5</v>
      </c>
      <c r="J26" s="694">
        <v>3.43</v>
      </c>
      <c r="K26" s="694">
        <v>0.97499999999999998</v>
      </c>
      <c r="L26" s="102">
        <f t="shared" si="6"/>
        <v>10.904999999999999</v>
      </c>
      <c r="M26" s="50">
        <f t="shared" si="7"/>
        <v>22.1</v>
      </c>
      <c r="N26" s="102">
        <f t="shared" si="8"/>
        <v>221</v>
      </c>
      <c r="O26" s="102">
        <f t="shared" si="9"/>
        <v>116.62</v>
      </c>
      <c r="P26" s="102">
        <f t="shared" si="10"/>
        <v>33.15</v>
      </c>
      <c r="Q26" s="103">
        <f t="shared" si="11"/>
        <v>370.77</v>
      </c>
    </row>
    <row r="27" spans="1:17" s="56" customFormat="1">
      <c r="A27" s="693">
        <v>13</v>
      </c>
      <c r="B27" s="238"/>
      <c r="C27" s="224" t="s">
        <v>127</v>
      </c>
      <c r="D27" s="224" t="s">
        <v>128</v>
      </c>
      <c r="E27" s="219" t="s">
        <v>118</v>
      </c>
      <c r="F27" s="311">
        <v>16</v>
      </c>
      <c r="G27" s="240">
        <v>0.65</v>
      </c>
      <c r="H27" s="240">
        <v>10</v>
      </c>
      <c r="I27" s="694">
        <v>6.5</v>
      </c>
      <c r="J27" s="694">
        <v>2.94</v>
      </c>
      <c r="K27" s="694">
        <v>0.97499999999999998</v>
      </c>
      <c r="L27" s="102">
        <f t="shared" si="6"/>
        <v>10.414999999999999</v>
      </c>
      <c r="M27" s="50">
        <f t="shared" si="7"/>
        <v>10.4</v>
      </c>
      <c r="N27" s="102">
        <f t="shared" si="8"/>
        <v>104</v>
      </c>
      <c r="O27" s="102">
        <f t="shared" si="9"/>
        <v>47.04</v>
      </c>
      <c r="P27" s="102">
        <f t="shared" si="10"/>
        <v>15.6</v>
      </c>
      <c r="Q27" s="103">
        <f t="shared" si="11"/>
        <v>166.64</v>
      </c>
    </row>
    <row r="28" spans="1:17" s="56" customFormat="1">
      <c r="A28" s="693">
        <v>14</v>
      </c>
      <c r="B28" s="238"/>
      <c r="C28" s="224" t="s">
        <v>129</v>
      </c>
      <c r="D28" s="224" t="s">
        <v>120</v>
      </c>
      <c r="E28" s="219" t="s">
        <v>118</v>
      </c>
      <c r="F28" s="311">
        <v>2</v>
      </c>
      <c r="G28" s="240">
        <v>0.25</v>
      </c>
      <c r="H28" s="240">
        <v>10</v>
      </c>
      <c r="I28" s="694">
        <v>2.5</v>
      </c>
      <c r="J28" s="694">
        <v>3.89</v>
      </c>
      <c r="K28" s="694">
        <v>0.375</v>
      </c>
      <c r="L28" s="102">
        <f t="shared" si="6"/>
        <v>6.7650000000000006</v>
      </c>
      <c r="M28" s="50">
        <f t="shared" si="7"/>
        <v>0.5</v>
      </c>
      <c r="N28" s="102">
        <f t="shared" si="8"/>
        <v>5</v>
      </c>
      <c r="O28" s="102">
        <f t="shared" si="9"/>
        <v>7.78</v>
      </c>
      <c r="P28" s="102">
        <f t="shared" si="10"/>
        <v>0.75</v>
      </c>
      <c r="Q28" s="103">
        <f t="shared" si="11"/>
        <v>13.530000000000001</v>
      </c>
    </row>
    <row r="29" spans="1:17" s="56" customFormat="1">
      <c r="A29" s="693">
        <v>15</v>
      </c>
      <c r="B29" s="238"/>
      <c r="C29" s="224" t="s">
        <v>130</v>
      </c>
      <c r="D29" s="224" t="s">
        <v>124</v>
      </c>
      <c r="E29" s="219" t="s">
        <v>118</v>
      </c>
      <c r="F29" s="311">
        <v>1</v>
      </c>
      <c r="G29" s="240">
        <v>0.25</v>
      </c>
      <c r="H29" s="240">
        <v>10</v>
      </c>
      <c r="I29" s="694">
        <v>2.5</v>
      </c>
      <c r="J29" s="694">
        <v>2.3199999999999998</v>
      </c>
      <c r="K29" s="694">
        <v>0.375</v>
      </c>
      <c r="L29" s="102">
        <f t="shared" si="6"/>
        <v>5.1950000000000003</v>
      </c>
      <c r="M29" s="50">
        <f t="shared" si="7"/>
        <v>0.25</v>
      </c>
      <c r="N29" s="102">
        <f t="shared" si="8"/>
        <v>2.5</v>
      </c>
      <c r="O29" s="102">
        <f t="shared" si="9"/>
        <v>2.3199999999999998</v>
      </c>
      <c r="P29" s="102">
        <f t="shared" si="10"/>
        <v>0.38</v>
      </c>
      <c r="Q29" s="103">
        <f t="shared" si="11"/>
        <v>5.2</v>
      </c>
    </row>
    <row r="30" spans="1:17" s="56" customFormat="1">
      <c r="A30" s="693">
        <v>16</v>
      </c>
      <c r="B30" s="238"/>
      <c r="C30" s="224" t="s">
        <v>131</v>
      </c>
      <c r="D30" s="224"/>
      <c r="E30" s="219" t="s">
        <v>111</v>
      </c>
      <c r="F30" s="311">
        <v>436</v>
      </c>
      <c r="G30" s="240">
        <v>0.25</v>
      </c>
      <c r="H30" s="240">
        <v>10</v>
      </c>
      <c r="I30" s="694">
        <v>2.5</v>
      </c>
      <c r="J30" s="694">
        <v>0.61</v>
      </c>
      <c r="K30" s="694">
        <v>0.375</v>
      </c>
      <c r="L30" s="102">
        <f t="shared" si="6"/>
        <v>3.4849999999999999</v>
      </c>
      <c r="M30" s="50">
        <f t="shared" si="7"/>
        <v>109</v>
      </c>
      <c r="N30" s="102">
        <f t="shared" si="8"/>
        <v>1090</v>
      </c>
      <c r="O30" s="102">
        <f t="shared" si="9"/>
        <v>265.95999999999998</v>
      </c>
      <c r="P30" s="102">
        <f t="shared" si="10"/>
        <v>163.5</v>
      </c>
      <c r="Q30" s="103">
        <f t="shared" si="11"/>
        <v>1519.46</v>
      </c>
    </row>
    <row r="31" spans="1:17" s="56" customFormat="1">
      <c r="A31" s="693">
        <v>17</v>
      </c>
      <c r="B31" s="238"/>
      <c r="C31" s="224" t="s">
        <v>132</v>
      </c>
      <c r="D31" s="224"/>
      <c r="E31" s="219" t="s">
        <v>111</v>
      </c>
      <c r="F31" s="311">
        <v>436</v>
      </c>
      <c r="G31" s="240">
        <v>0.14000000000000001</v>
      </c>
      <c r="H31" s="240">
        <v>10</v>
      </c>
      <c r="I31" s="694">
        <v>1.4</v>
      </c>
      <c r="J31" s="694"/>
      <c r="K31" s="694">
        <v>0.21</v>
      </c>
      <c r="L31" s="102">
        <f t="shared" si="6"/>
        <v>1.6099999999999999</v>
      </c>
      <c r="M31" s="50">
        <f t="shared" si="7"/>
        <v>61.04</v>
      </c>
      <c r="N31" s="102">
        <f t="shared" si="8"/>
        <v>610.4</v>
      </c>
      <c r="O31" s="102">
        <f t="shared" si="9"/>
        <v>0</v>
      </c>
      <c r="P31" s="102">
        <f t="shared" si="10"/>
        <v>91.56</v>
      </c>
      <c r="Q31" s="103">
        <f t="shared" si="11"/>
        <v>701.96</v>
      </c>
    </row>
    <row r="32" spans="1:17" s="56" customFormat="1">
      <c r="A32" s="693">
        <v>18</v>
      </c>
      <c r="B32" s="238"/>
      <c r="C32" s="224" t="s">
        <v>133</v>
      </c>
      <c r="D32" s="224"/>
      <c r="E32" s="219" t="s">
        <v>111</v>
      </c>
      <c r="F32" s="311">
        <v>436</v>
      </c>
      <c r="G32" s="240">
        <v>0.14000000000000001</v>
      </c>
      <c r="H32" s="240">
        <v>10</v>
      </c>
      <c r="I32" s="694">
        <v>1.4</v>
      </c>
      <c r="J32" s="694"/>
      <c r="K32" s="694">
        <v>0.21</v>
      </c>
      <c r="L32" s="102">
        <f t="shared" si="6"/>
        <v>1.6099999999999999</v>
      </c>
      <c r="M32" s="50">
        <f t="shared" si="7"/>
        <v>61.04</v>
      </c>
      <c r="N32" s="102">
        <f t="shared" si="8"/>
        <v>610.4</v>
      </c>
      <c r="O32" s="102">
        <f t="shared" si="9"/>
        <v>0</v>
      </c>
      <c r="P32" s="102">
        <f t="shared" si="10"/>
        <v>91.56</v>
      </c>
      <c r="Q32" s="103">
        <f t="shared" si="11"/>
        <v>701.96</v>
      </c>
    </row>
    <row r="33" spans="1:17" s="56" customFormat="1" ht="49.75">
      <c r="A33" s="693">
        <v>19</v>
      </c>
      <c r="B33" s="238"/>
      <c r="C33" s="224" t="s">
        <v>134</v>
      </c>
      <c r="D33" s="224" t="s">
        <v>135</v>
      </c>
      <c r="E33" s="219" t="s">
        <v>136</v>
      </c>
      <c r="F33" s="311">
        <v>1</v>
      </c>
      <c r="G33" s="240">
        <v>4.5</v>
      </c>
      <c r="H33" s="240">
        <v>10</v>
      </c>
      <c r="I33" s="694">
        <v>45</v>
      </c>
      <c r="J33" s="694">
        <v>850</v>
      </c>
      <c r="K33" s="694">
        <v>6.75</v>
      </c>
      <c r="L33" s="102">
        <f t="shared" si="6"/>
        <v>901.75</v>
      </c>
      <c r="M33" s="50">
        <f t="shared" si="7"/>
        <v>4.5</v>
      </c>
      <c r="N33" s="102">
        <f t="shared" si="8"/>
        <v>45</v>
      </c>
      <c r="O33" s="102">
        <f t="shared" si="9"/>
        <v>850</v>
      </c>
      <c r="P33" s="102">
        <f t="shared" si="10"/>
        <v>6.75</v>
      </c>
      <c r="Q33" s="103">
        <f t="shared" si="11"/>
        <v>901.75</v>
      </c>
    </row>
    <row r="34" spans="1:17" s="56" customFormat="1" ht="24.9">
      <c r="A34" s="693">
        <v>20</v>
      </c>
      <c r="B34" s="238"/>
      <c r="C34" s="224" t="s">
        <v>137</v>
      </c>
      <c r="D34" s="224" t="s">
        <v>124</v>
      </c>
      <c r="E34" s="219" t="s">
        <v>136</v>
      </c>
      <c r="F34" s="311">
        <v>3</v>
      </c>
      <c r="G34" s="240">
        <v>0.7</v>
      </c>
      <c r="H34" s="240">
        <v>10</v>
      </c>
      <c r="I34" s="694">
        <v>7</v>
      </c>
      <c r="J34" s="694">
        <v>12.7</v>
      </c>
      <c r="K34" s="694">
        <v>1.05</v>
      </c>
      <c r="L34" s="102">
        <f t="shared" si="6"/>
        <v>20.75</v>
      </c>
      <c r="M34" s="50">
        <f t="shared" si="7"/>
        <v>2.1</v>
      </c>
      <c r="N34" s="102">
        <f t="shared" si="8"/>
        <v>21</v>
      </c>
      <c r="O34" s="102">
        <f t="shared" si="9"/>
        <v>38.1</v>
      </c>
      <c r="P34" s="102">
        <f t="shared" si="10"/>
        <v>3.15</v>
      </c>
      <c r="Q34" s="103">
        <f t="shared" si="11"/>
        <v>62.25</v>
      </c>
    </row>
    <row r="35" spans="1:17" s="56" customFormat="1" ht="24.9">
      <c r="A35" s="693">
        <v>21</v>
      </c>
      <c r="B35" s="238"/>
      <c r="C35" s="224" t="s">
        <v>138</v>
      </c>
      <c r="D35" s="224" t="s">
        <v>124</v>
      </c>
      <c r="E35" s="219" t="s">
        <v>136</v>
      </c>
      <c r="F35" s="311">
        <v>1</v>
      </c>
      <c r="G35" s="240">
        <v>0.7</v>
      </c>
      <c r="H35" s="240">
        <v>10</v>
      </c>
      <c r="I35" s="694">
        <v>7</v>
      </c>
      <c r="J35" s="694">
        <v>12.7</v>
      </c>
      <c r="K35" s="694">
        <v>1.05</v>
      </c>
      <c r="L35" s="102">
        <f t="shared" si="6"/>
        <v>20.75</v>
      </c>
      <c r="M35" s="50">
        <f t="shared" si="7"/>
        <v>0.7</v>
      </c>
      <c r="N35" s="102">
        <f t="shared" si="8"/>
        <v>7</v>
      </c>
      <c r="O35" s="102">
        <f t="shared" si="9"/>
        <v>12.7</v>
      </c>
      <c r="P35" s="102">
        <f t="shared" si="10"/>
        <v>1.05</v>
      </c>
      <c r="Q35" s="103">
        <f t="shared" si="11"/>
        <v>20.75</v>
      </c>
    </row>
    <row r="36" spans="1:17" s="56" customFormat="1">
      <c r="A36" s="693">
        <v>22</v>
      </c>
      <c r="B36" s="238"/>
      <c r="C36" s="224" t="s">
        <v>139</v>
      </c>
      <c r="D36" s="224" t="s">
        <v>117</v>
      </c>
      <c r="E36" s="219" t="s">
        <v>111</v>
      </c>
      <c r="F36" s="311" t="s">
        <v>35</v>
      </c>
      <c r="G36" s="240">
        <v>0.62</v>
      </c>
      <c r="H36" s="240">
        <v>10</v>
      </c>
      <c r="I36" s="694">
        <v>6.2</v>
      </c>
      <c r="J36" s="694">
        <v>19.82</v>
      </c>
      <c r="K36" s="694">
        <v>0.92999999999999994</v>
      </c>
      <c r="L36" s="102">
        <f t="shared" si="6"/>
        <v>26.95</v>
      </c>
      <c r="M36" s="50">
        <f t="shared" si="7"/>
        <v>0.93</v>
      </c>
      <c r="N36" s="102">
        <f t="shared" si="8"/>
        <v>9.3000000000000007</v>
      </c>
      <c r="O36" s="102">
        <f t="shared" si="9"/>
        <v>29.73</v>
      </c>
      <c r="P36" s="102">
        <f t="shared" si="10"/>
        <v>1.4</v>
      </c>
      <c r="Q36" s="103">
        <f t="shared" si="11"/>
        <v>40.43</v>
      </c>
    </row>
    <row r="37" spans="1:17" s="56" customFormat="1" ht="24.9">
      <c r="A37" s="693">
        <v>23</v>
      </c>
      <c r="B37" s="238"/>
      <c r="C37" s="224" t="s">
        <v>140</v>
      </c>
      <c r="D37" s="224"/>
      <c r="E37" s="219" t="s">
        <v>136</v>
      </c>
      <c r="F37" s="311">
        <v>1</v>
      </c>
      <c r="G37" s="240">
        <v>6.5</v>
      </c>
      <c r="H37" s="240">
        <v>10</v>
      </c>
      <c r="I37" s="694">
        <v>65</v>
      </c>
      <c r="J37" s="694">
        <v>189</v>
      </c>
      <c r="K37" s="694">
        <v>9.75</v>
      </c>
      <c r="L37" s="102">
        <f t="shared" si="6"/>
        <v>263.75</v>
      </c>
      <c r="M37" s="50">
        <f t="shared" si="7"/>
        <v>6.5</v>
      </c>
      <c r="N37" s="102">
        <f t="shared" si="8"/>
        <v>65</v>
      </c>
      <c r="O37" s="102">
        <f t="shared" si="9"/>
        <v>189</v>
      </c>
      <c r="P37" s="102">
        <f t="shared" si="10"/>
        <v>9.75</v>
      </c>
      <c r="Q37" s="103">
        <f t="shared" si="11"/>
        <v>263.75</v>
      </c>
    </row>
    <row r="38" spans="1:17" s="56" customFormat="1" ht="26.2">
      <c r="A38" s="693"/>
      <c r="B38" s="238"/>
      <c r="C38" s="218" t="s">
        <v>141</v>
      </c>
      <c r="D38" s="218"/>
      <c r="E38" s="219"/>
      <c r="F38" s="311"/>
      <c r="G38" s="240">
        <v>0</v>
      </c>
      <c r="H38" s="240">
        <v>0</v>
      </c>
      <c r="I38" s="694"/>
      <c r="J38" s="694"/>
      <c r="K38" s="694"/>
      <c r="L38" s="102">
        <f t="shared" si="6"/>
        <v>0</v>
      </c>
      <c r="M38" s="50">
        <f t="shared" si="7"/>
        <v>0</v>
      </c>
      <c r="N38" s="102">
        <f t="shared" si="8"/>
        <v>0</v>
      </c>
      <c r="O38" s="102">
        <f t="shared" si="9"/>
        <v>0</v>
      </c>
      <c r="P38" s="102">
        <f t="shared" si="10"/>
        <v>0</v>
      </c>
      <c r="Q38" s="103">
        <f t="shared" si="11"/>
        <v>0</v>
      </c>
    </row>
    <row r="39" spans="1:17" s="56" customFormat="1">
      <c r="A39" s="693">
        <v>24</v>
      </c>
      <c r="B39" s="238"/>
      <c r="C39" s="224" t="s">
        <v>142</v>
      </c>
      <c r="D39" s="224"/>
      <c r="E39" s="219" t="s">
        <v>118</v>
      </c>
      <c r="F39" s="311">
        <v>1</v>
      </c>
      <c r="G39" s="240">
        <v>1.8</v>
      </c>
      <c r="H39" s="240">
        <v>10</v>
      </c>
      <c r="I39" s="694">
        <v>18</v>
      </c>
      <c r="J39" s="694">
        <v>46.1</v>
      </c>
      <c r="K39" s="694">
        <v>2.6999999999999997</v>
      </c>
      <c r="L39" s="102">
        <f t="shared" si="6"/>
        <v>66.8</v>
      </c>
      <c r="M39" s="50">
        <f t="shared" si="7"/>
        <v>1.8</v>
      </c>
      <c r="N39" s="102">
        <f t="shared" si="8"/>
        <v>18</v>
      </c>
      <c r="O39" s="102">
        <f t="shared" si="9"/>
        <v>46.1</v>
      </c>
      <c r="P39" s="102">
        <f t="shared" si="10"/>
        <v>2.7</v>
      </c>
      <c r="Q39" s="103">
        <f t="shared" si="11"/>
        <v>66.8</v>
      </c>
    </row>
    <row r="40" spans="1:17" s="56" customFormat="1">
      <c r="A40" s="693">
        <v>25</v>
      </c>
      <c r="B40" s="238"/>
      <c r="C40" s="224" t="s">
        <v>143</v>
      </c>
      <c r="D40" s="224"/>
      <c r="E40" s="219" t="s">
        <v>118</v>
      </c>
      <c r="F40" s="311">
        <v>1</v>
      </c>
      <c r="G40" s="240">
        <v>1.8</v>
      </c>
      <c r="H40" s="240">
        <v>10</v>
      </c>
      <c r="I40" s="694">
        <v>18</v>
      </c>
      <c r="J40" s="694">
        <v>21.37</v>
      </c>
      <c r="K40" s="694">
        <v>2.6999999999999997</v>
      </c>
      <c r="L40" s="102">
        <f t="shared" si="6"/>
        <v>42.070000000000007</v>
      </c>
      <c r="M40" s="50">
        <f t="shared" si="7"/>
        <v>1.8</v>
      </c>
      <c r="N40" s="102">
        <f t="shared" si="8"/>
        <v>18</v>
      </c>
      <c r="O40" s="102">
        <f t="shared" si="9"/>
        <v>21.37</v>
      </c>
      <c r="P40" s="102">
        <f t="shared" si="10"/>
        <v>2.7</v>
      </c>
      <c r="Q40" s="103">
        <f t="shared" si="11"/>
        <v>42.070000000000007</v>
      </c>
    </row>
    <row r="41" spans="1:17" s="56" customFormat="1">
      <c r="A41" s="693">
        <v>26</v>
      </c>
      <c r="B41" s="238"/>
      <c r="C41" s="224" t="s">
        <v>144</v>
      </c>
      <c r="D41" s="224"/>
      <c r="E41" s="219" t="s">
        <v>118</v>
      </c>
      <c r="F41" s="311">
        <v>1</v>
      </c>
      <c r="G41" s="240">
        <v>1.8</v>
      </c>
      <c r="H41" s="240">
        <v>10</v>
      </c>
      <c r="I41" s="694">
        <v>18</v>
      </c>
      <c r="J41" s="694">
        <v>35.71</v>
      </c>
      <c r="K41" s="694">
        <v>2.6999999999999997</v>
      </c>
      <c r="L41" s="102">
        <f t="shared" si="6"/>
        <v>56.410000000000004</v>
      </c>
      <c r="M41" s="50">
        <f t="shared" si="7"/>
        <v>1.8</v>
      </c>
      <c r="N41" s="102">
        <f t="shared" si="8"/>
        <v>18</v>
      </c>
      <c r="O41" s="102">
        <f t="shared" si="9"/>
        <v>35.71</v>
      </c>
      <c r="P41" s="102">
        <f t="shared" si="10"/>
        <v>2.7</v>
      </c>
      <c r="Q41" s="103">
        <f t="shared" si="11"/>
        <v>56.410000000000004</v>
      </c>
    </row>
    <row r="42" spans="1:17" s="56" customFormat="1">
      <c r="A42" s="693">
        <v>27</v>
      </c>
      <c r="B42" s="238"/>
      <c r="C42" s="224" t="s">
        <v>145</v>
      </c>
      <c r="D42" s="224" t="s">
        <v>146</v>
      </c>
      <c r="E42" s="219" t="s">
        <v>111</v>
      </c>
      <c r="F42" s="311" t="s">
        <v>147</v>
      </c>
      <c r="G42" s="240">
        <v>1.8</v>
      </c>
      <c r="H42" s="240">
        <v>10</v>
      </c>
      <c r="I42" s="694">
        <v>18</v>
      </c>
      <c r="J42" s="694">
        <v>3.86</v>
      </c>
      <c r="K42" s="694">
        <v>2.6999999999999997</v>
      </c>
      <c r="L42" s="102">
        <f t="shared" si="6"/>
        <v>24.56</v>
      </c>
      <c r="M42" s="50">
        <f t="shared" si="7"/>
        <v>0.9</v>
      </c>
      <c r="N42" s="102">
        <f t="shared" si="8"/>
        <v>9</v>
      </c>
      <c r="O42" s="102">
        <f t="shared" si="9"/>
        <v>1.93</v>
      </c>
      <c r="P42" s="102">
        <f t="shared" si="10"/>
        <v>1.35</v>
      </c>
      <c r="Q42" s="103">
        <f t="shared" si="11"/>
        <v>12.28</v>
      </c>
    </row>
    <row r="43" spans="1:17" s="56" customFormat="1">
      <c r="A43" s="693">
        <v>28</v>
      </c>
      <c r="B43" s="238"/>
      <c r="C43" s="224" t="s">
        <v>148</v>
      </c>
      <c r="D43" s="224" t="s">
        <v>122</v>
      </c>
      <c r="E43" s="219" t="s">
        <v>111</v>
      </c>
      <c r="F43" s="311" t="s">
        <v>147</v>
      </c>
      <c r="G43" s="240">
        <v>1.8</v>
      </c>
      <c r="H43" s="240">
        <v>10</v>
      </c>
      <c r="I43" s="694">
        <v>18</v>
      </c>
      <c r="J43" s="694">
        <v>1.88</v>
      </c>
      <c r="K43" s="694">
        <v>2.6999999999999997</v>
      </c>
      <c r="L43" s="102">
        <f t="shared" si="6"/>
        <v>22.58</v>
      </c>
      <c r="M43" s="50">
        <f t="shared" si="7"/>
        <v>0.9</v>
      </c>
      <c r="N43" s="102">
        <f t="shared" si="8"/>
        <v>9</v>
      </c>
      <c r="O43" s="102">
        <f t="shared" si="9"/>
        <v>0.94</v>
      </c>
      <c r="P43" s="102">
        <f t="shared" si="10"/>
        <v>1.35</v>
      </c>
      <c r="Q43" s="103">
        <f t="shared" si="11"/>
        <v>11.29</v>
      </c>
    </row>
    <row r="44" spans="1:17" s="56" customFormat="1" ht="37.35">
      <c r="A44" s="693">
        <v>29</v>
      </c>
      <c r="B44" s="238"/>
      <c r="C44" s="224" t="s">
        <v>149</v>
      </c>
      <c r="D44" s="224" t="s">
        <v>150</v>
      </c>
      <c r="E44" s="219" t="s">
        <v>136</v>
      </c>
      <c r="F44" s="311">
        <v>1</v>
      </c>
      <c r="G44" s="240">
        <v>2.4</v>
      </c>
      <c r="H44" s="240">
        <v>10</v>
      </c>
      <c r="I44" s="694">
        <v>24</v>
      </c>
      <c r="J44" s="694">
        <v>486</v>
      </c>
      <c r="K44" s="694">
        <v>3.5999999999999996</v>
      </c>
      <c r="L44" s="102">
        <f t="shared" si="6"/>
        <v>513.6</v>
      </c>
      <c r="M44" s="50">
        <f t="shared" si="7"/>
        <v>2.4</v>
      </c>
      <c r="N44" s="102">
        <f t="shared" si="8"/>
        <v>24</v>
      </c>
      <c r="O44" s="102">
        <f t="shared" si="9"/>
        <v>486</v>
      </c>
      <c r="P44" s="102">
        <f t="shared" si="10"/>
        <v>3.6</v>
      </c>
      <c r="Q44" s="103">
        <f t="shared" si="11"/>
        <v>513.6</v>
      </c>
    </row>
    <row r="45" spans="1:17" s="56" customFormat="1">
      <c r="A45" s="693">
        <v>30</v>
      </c>
      <c r="B45" s="238"/>
      <c r="C45" s="224" t="s">
        <v>151</v>
      </c>
      <c r="D45" s="224" t="s">
        <v>150</v>
      </c>
      <c r="E45" s="219" t="s">
        <v>118</v>
      </c>
      <c r="F45" s="311">
        <v>1</v>
      </c>
      <c r="G45" s="240">
        <v>1.8</v>
      </c>
      <c r="H45" s="240">
        <v>10</v>
      </c>
      <c r="I45" s="694">
        <v>18</v>
      </c>
      <c r="J45" s="694">
        <v>46.1</v>
      </c>
      <c r="K45" s="694">
        <v>2.6999999999999997</v>
      </c>
      <c r="L45" s="102">
        <f t="shared" si="6"/>
        <v>66.8</v>
      </c>
      <c r="M45" s="50">
        <f t="shared" si="7"/>
        <v>1.8</v>
      </c>
      <c r="N45" s="102">
        <f t="shared" si="8"/>
        <v>18</v>
      </c>
      <c r="O45" s="102">
        <f t="shared" si="9"/>
        <v>46.1</v>
      </c>
      <c r="P45" s="102">
        <f t="shared" si="10"/>
        <v>2.7</v>
      </c>
      <c r="Q45" s="103">
        <f t="shared" si="11"/>
        <v>66.8</v>
      </c>
    </row>
    <row r="46" spans="1:17" s="56" customFormat="1">
      <c r="A46" s="693">
        <v>31</v>
      </c>
      <c r="B46" s="238"/>
      <c r="C46" s="224" t="s">
        <v>152</v>
      </c>
      <c r="D46" s="224" t="s">
        <v>117</v>
      </c>
      <c r="E46" s="219" t="s">
        <v>118</v>
      </c>
      <c r="F46" s="311">
        <v>5</v>
      </c>
      <c r="G46" s="240">
        <v>0.65</v>
      </c>
      <c r="H46" s="240">
        <v>10</v>
      </c>
      <c r="I46" s="694">
        <v>6.5</v>
      </c>
      <c r="J46" s="694">
        <v>4.28</v>
      </c>
      <c r="K46" s="694">
        <v>0.97499999999999998</v>
      </c>
      <c r="L46" s="102">
        <f t="shared" si="6"/>
        <v>11.755000000000001</v>
      </c>
      <c r="M46" s="50">
        <f t="shared" si="7"/>
        <v>3.25</v>
      </c>
      <c r="N46" s="102">
        <f t="shared" si="8"/>
        <v>32.5</v>
      </c>
      <c r="O46" s="102">
        <f t="shared" si="9"/>
        <v>21.4</v>
      </c>
      <c r="P46" s="102">
        <f t="shared" si="10"/>
        <v>4.88</v>
      </c>
      <c r="Q46" s="103">
        <f t="shared" si="11"/>
        <v>58.78</v>
      </c>
    </row>
    <row r="47" spans="1:17" s="56" customFormat="1">
      <c r="A47" s="693">
        <v>32</v>
      </c>
      <c r="B47" s="238"/>
      <c r="C47" s="224" t="s">
        <v>153</v>
      </c>
      <c r="D47" s="224" t="s">
        <v>154</v>
      </c>
      <c r="E47" s="219" t="s">
        <v>118</v>
      </c>
      <c r="F47" s="311">
        <v>2</v>
      </c>
      <c r="G47" s="240">
        <v>0.25</v>
      </c>
      <c r="H47" s="240">
        <v>10</v>
      </c>
      <c r="I47" s="694">
        <v>2.5</v>
      </c>
      <c r="J47" s="694">
        <v>2.77</v>
      </c>
      <c r="K47" s="694">
        <v>0.375</v>
      </c>
      <c r="L47" s="102">
        <f t="shared" ref="L47:L78" si="12">SUM(I47:K47)</f>
        <v>5.6449999999999996</v>
      </c>
      <c r="M47" s="50">
        <f t="shared" si="7"/>
        <v>0.5</v>
      </c>
      <c r="N47" s="102">
        <f t="shared" ref="N47:N78" si="13">ROUND(I47*F47,2)</f>
        <v>5</v>
      </c>
      <c r="O47" s="102">
        <f t="shared" ref="O47:O78" si="14">ROUND(J47*F47,2)</f>
        <v>5.54</v>
      </c>
      <c r="P47" s="102">
        <f t="shared" ref="P47:P78" si="15">ROUND(K47*F47,2)</f>
        <v>0.75</v>
      </c>
      <c r="Q47" s="103">
        <f t="shared" ref="Q47:Q78" si="16">SUM(N47:P47)</f>
        <v>11.29</v>
      </c>
    </row>
    <row r="48" spans="1:17" s="56" customFormat="1">
      <c r="A48" s="693">
        <v>33</v>
      </c>
      <c r="B48" s="238"/>
      <c r="C48" s="224" t="s">
        <v>155</v>
      </c>
      <c r="D48" s="224" t="s">
        <v>122</v>
      </c>
      <c r="E48" s="219" t="s">
        <v>118</v>
      </c>
      <c r="F48" s="311">
        <v>1</v>
      </c>
      <c r="G48" s="240">
        <v>0.25</v>
      </c>
      <c r="H48" s="240">
        <v>10</v>
      </c>
      <c r="I48" s="694">
        <v>2.5</v>
      </c>
      <c r="J48" s="694">
        <v>1.2</v>
      </c>
      <c r="K48" s="694">
        <v>0.375</v>
      </c>
      <c r="L48" s="102">
        <f t="shared" si="12"/>
        <v>4.0750000000000002</v>
      </c>
      <c r="M48" s="50">
        <f t="shared" si="7"/>
        <v>0.25</v>
      </c>
      <c r="N48" s="102">
        <f t="shared" si="13"/>
        <v>2.5</v>
      </c>
      <c r="O48" s="102">
        <f t="shared" si="14"/>
        <v>1.2</v>
      </c>
      <c r="P48" s="102">
        <f t="shared" si="15"/>
        <v>0.38</v>
      </c>
      <c r="Q48" s="103">
        <f t="shared" si="16"/>
        <v>4.08</v>
      </c>
    </row>
    <row r="49" spans="1:17" s="56" customFormat="1">
      <c r="A49" s="693">
        <v>34</v>
      </c>
      <c r="B49" s="238"/>
      <c r="C49" s="224" t="s">
        <v>156</v>
      </c>
      <c r="D49" s="224" t="s">
        <v>122</v>
      </c>
      <c r="E49" s="219" t="s">
        <v>118</v>
      </c>
      <c r="F49" s="311">
        <v>1</v>
      </c>
      <c r="G49" s="240">
        <v>2.4</v>
      </c>
      <c r="H49" s="240">
        <v>10</v>
      </c>
      <c r="I49" s="694">
        <v>24</v>
      </c>
      <c r="J49" s="694">
        <v>22.25</v>
      </c>
      <c r="K49" s="694">
        <v>3.5999999999999996</v>
      </c>
      <c r="L49" s="102">
        <f t="shared" si="12"/>
        <v>49.85</v>
      </c>
      <c r="M49" s="50">
        <f t="shared" si="7"/>
        <v>2.4</v>
      </c>
      <c r="N49" s="102">
        <f t="shared" si="13"/>
        <v>24</v>
      </c>
      <c r="O49" s="102">
        <f t="shared" si="14"/>
        <v>22.25</v>
      </c>
      <c r="P49" s="102">
        <f t="shared" si="15"/>
        <v>3.6</v>
      </c>
      <c r="Q49" s="103">
        <f t="shared" si="16"/>
        <v>49.85</v>
      </c>
    </row>
    <row r="50" spans="1:17" s="56" customFormat="1">
      <c r="A50" s="693">
        <v>35</v>
      </c>
      <c r="B50" s="238"/>
      <c r="C50" s="224" t="s">
        <v>157</v>
      </c>
      <c r="D50" s="224" t="s">
        <v>122</v>
      </c>
      <c r="E50" s="219" t="s">
        <v>118</v>
      </c>
      <c r="F50" s="311">
        <v>1</v>
      </c>
      <c r="G50" s="240">
        <v>0.25</v>
      </c>
      <c r="H50" s="240">
        <v>10</v>
      </c>
      <c r="I50" s="694">
        <v>2.5</v>
      </c>
      <c r="J50" s="694">
        <v>2.77</v>
      </c>
      <c r="K50" s="694">
        <v>0.375</v>
      </c>
      <c r="L50" s="102">
        <f t="shared" si="12"/>
        <v>5.6449999999999996</v>
      </c>
      <c r="M50" s="50">
        <f t="shared" si="7"/>
        <v>0.25</v>
      </c>
      <c r="N50" s="102">
        <f t="shared" si="13"/>
        <v>2.5</v>
      </c>
      <c r="O50" s="102">
        <f t="shared" si="14"/>
        <v>2.77</v>
      </c>
      <c r="P50" s="102">
        <f t="shared" si="15"/>
        <v>0.38</v>
      </c>
      <c r="Q50" s="103">
        <f t="shared" si="16"/>
        <v>5.6499999999999995</v>
      </c>
    </row>
    <row r="51" spans="1:17" s="56" customFormat="1">
      <c r="A51" s="693">
        <v>36</v>
      </c>
      <c r="B51" s="238"/>
      <c r="C51" s="224" t="s">
        <v>158</v>
      </c>
      <c r="D51" s="224" t="s">
        <v>122</v>
      </c>
      <c r="E51" s="219" t="s">
        <v>118</v>
      </c>
      <c r="F51" s="311">
        <v>1</v>
      </c>
      <c r="G51" s="240">
        <v>0.65</v>
      </c>
      <c r="H51" s="240">
        <v>10</v>
      </c>
      <c r="I51" s="694">
        <v>6.5</v>
      </c>
      <c r="J51" s="694">
        <v>4.07</v>
      </c>
      <c r="K51" s="694">
        <v>0.97499999999999998</v>
      </c>
      <c r="L51" s="102">
        <f t="shared" si="12"/>
        <v>11.545</v>
      </c>
      <c r="M51" s="50">
        <f t="shared" si="7"/>
        <v>0.65</v>
      </c>
      <c r="N51" s="102">
        <f t="shared" si="13"/>
        <v>6.5</v>
      </c>
      <c r="O51" s="102">
        <f t="shared" si="14"/>
        <v>4.07</v>
      </c>
      <c r="P51" s="102">
        <f t="shared" si="15"/>
        <v>0.98</v>
      </c>
      <c r="Q51" s="103">
        <f t="shared" si="16"/>
        <v>11.55</v>
      </c>
    </row>
    <row r="52" spans="1:17" s="56" customFormat="1">
      <c r="A52" s="693">
        <v>37</v>
      </c>
      <c r="B52" s="238"/>
      <c r="C52" s="224" t="s">
        <v>159</v>
      </c>
      <c r="D52" s="224"/>
      <c r="E52" s="219" t="s">
        <v>118</v>
      </c>
      <c r="F52" s="311">
        <v>1</v>
      </c>
      <c r="G52" s="240">
        <v>1.1000000000000001</v>
      </c>
      <c r="H52" s="240">
        <v>10</v>
      </c>
      <c r="I52" s="694">
        <v>11</v>
      </c>
      <c r="J52" s="694">
        <v>15.52</v>
      </c>
      <c r="K52" s="694">
        <v>1.65</v>
      </c>
      <c r="L52" s="102">
        <f t="shared" si="12"/>
        <v>28.169999999999998</v>
      </c>
      <c r="M52" s="50">
        <f t="shared" si="7"/>
        <v>1.1000000000000001</v>
      </c>
      <c r="N52" s="102">
        <f t="shared" si="13"/>
        <v>11</v>
      </c>
      <c r="O52" s="102">
        <f t="shared" si="14"/>
        <v>15.52</v>
      </c>
      <c r="P52" s="102">
        <f t="shared" si="15"/>
        <v>1.65</v>
      </c>
      <c r="Q52" s="103">
        <f t="shared" si="16"/>
        <v>28.169999999999998</v>
      </c>
    </row>
    <row r="53" spans="1:17" s="56" customFormat="1">
      <c r="A53" s="693">
        <v>38</v>
      </c>
      <c r="B53" s="238"/>
      <c r="C53" s="224" t="s">
        <v>160</v>
      </c>
      <c r="D53" s="224" t="s">
        <v>117</v>
      </c>
      <c r="E53" s="219" t="s">
        <v>118</v>
      </c>
      <c r="F53" s="311">
        <v>1</v>
      </c>
      <c r="G53" s="240">
        <v>0.65</v>
      </c>
      <c r="H53" s="240">
        <v>10</v>
      </c>
      <c r="I53" s="694">
        <v>4.68</v>
      </c>
      <c r="J53" s="694">
        <v>8.52</v>
      </c>
      <c r="K53" s="694">
        <v>0.70199999999999996</v>
      </c>
      <c r="L53" s="102">
        <f t="shared" si="12"/>
        <v>13.901999999999999</v>
      </c>
      <c r="M53" s="50">
        <f t="shared" si="7"/>
        <v>0.65</v>
      </c>
      <c r="N53" s="102">
        <f t="shared" si="13"/>
        <v>4.68</v>
      </c>
      <c r="O53" s="102">
        <f t="shared" si="14"/>
        <v>8.52</v>
      </c>
      <c r="P53" s="102">
        <f t="shared" si="15"/>
        <v>0.7</v>
      </c>
      <c r="Q53" s="103">
        <f t="shared" si="16"/>
        <v>13.899999999999999</v>
      </c>
    </row>
    <row r="54" spans="1:17" s="56" customFormat="1">
      <c r="A54" s="693">
        <v>39</v>
      </c>
      <c r="B54" s="238"/>
      <c r="C54" s="224" t="s">
        <v>161</v>
      </c>
      <c r="D54" s="224"/>
      <c r="E54" s="219" t="s">
        <v>118</v>
      </c>
      <c r="F54" s="311">
        <v>1</v>
      </c>
      <c r="G54" s="240">
        <v>1.8</v>
      </c>
      <c r="H54" s="240">
        <v>10</v>
      </c>
      <c r="I54" s="694">
        <v>18</v>
      </c>
      <c r="J54" s="694">
        <v>46.1</v>
      </c>
      <c r="K54" s="694">
        <v>2.6999999999999997</v>
      </c>
      <c r="L54" s="102">
        <f t="shared" si="12"/>
        <v>66.8</v>
      </c>
      <c r="M54" s="50">
        <f t="shared" si="7"/>
        <v>1.8</v>
      </c>
      <c r="N54" s="102">
        <f t="shared" si="13"/>
        <v>18</v>
      </c>
      <c r="O54" s="102">
        <f t="shared" si="14"/>
        <v>46.1</v>
      </c>
      <c r="P54" s="102">
        <f t="shared" si="15"/>
        <v>2.7</v>
      </c>
      <c r="Q54" s="103">
        <f t="shared" si="16"/>
        <v>66.8</v>
      </c>
    </row>
    <row r="55" spans="1:17" s="56" customFormat="1" ht="24.9">
      <c r="A55" s="693">
        <v>40</v>
      </c>
      <c r="B55" s="238"/>
      <c r="C55" s="224" t="s">
        <v>162</v>
      </c>
      <c r="D55" s="224"/>
      <c r="E55" s="219" t="s">
        <v>118</v>
      </c>
      <c r="F55" s="311">
        <v>2</v>
      </c>
      <c r="G55" s="240">
        <v>0.3</v>
      </c>
      <c r="H55" s="240">
        <v>10</v>
      </c>
      <c r="I55" s="694">
        <v>3</v>
      </c>
      <c r="J55" s="694">
        <v>6.55</v>
      </c>
      <c r="K55" s="694">
        <v>0.44999999999999996</v>
      </c>
      <c r="L55" s="102">
        <f t="shared" si="12"/>
        <v>10</v>
      </c>
      <c r="M55" s="50">
        <f t="shared" si="7"/>
        <v>0.6</v>
      </c>
      <c r="N55" s="102">
        <f t="shared" si="13"/>
        <v>6</v>
      </c>
      <c r="O55" s="102">
        <f t="shared" si="14"/>
        <v>13.1</v>
      </c>
      <c r="P55" s="102">
        <f t="shared" si="15"/>
        <v>0.9</v>
      </c>
      <c r="Q55" s="103">
        <f t="shared" si="16"/>
        <v>20</v>
      </c>
    </row>
    <row r="56" spans="1:17" s="56" customFormat="1" ht="24.9">
      <c r="A56" s="693">
        <v>41</v>
      </c>
      <c r="B56" s="238"/>
      <c r="C56" s="224" t="s">
        <v>163</v>
      </c>
      <c r="D56" s="224"/>
      <c r="E56" s="219" t="s">
        <v>118</v>
      </c>
      <c r="F56" s="311">
        <v>2</v>
      </c>
      <c r="G56" s="240">
        <v>0.3</v>
      </c>
      <c r="H56" s="240">
        <v>10</v>
      </c>
      <c r="I56" s="694">
        <v>3</v>
      </c>
      <c r="J56" s="694">
        <v>7.07</v>
      </c>
      <c r="K56" s="694">
        <v>0.44999999999999996</v>
      </c>
      <c r="L56" s="102">
        <f t="shared" si="12"/>
        <v>10.52</v>
      </c>
      <c r="M56" s="50">
        <f t="shared" si="7"/>
        <v>0.6</v>
      </c>
      <c r="N56" s="102">
        <f t="shared" si="13"/>
        <v>6</v>
      </c>
      <c r="O56" s="102">
        <f t="shared" si="14"/>
        <v>14.14</v>
      </c>
      <c r="P56" s="102">
        <f t="shared" si="15"/>
        <v>0.9</v>
      </c>
      <c r="Q56" s="103">
        <f t="shared" si="16"/>
        <v>21.04</v>
      </c>
    </row>
    <row r="57" spans="1:17" s="56" customFormat="1">
      <c r="A57" s="693">
        <v>42</v>
      </c>
      <c r="B57" s="238"/>
      <c r="C57" s="224" t="s">
        <v>164</v>
      </c>
      <c r="D57" s="224"/>
      <c r="E57" s="219" t="s">
        <v>136</v>
      </c>
      <c r="F57" s="311">
        <v>1</v>
      </c>
      <c r="G57" s="240"/>
      <c r="H57" s="240"/>
      <c r="I57" s="694"/>
      <c r="J57" s="694">
        <v>6</v>
      </c>
      <c r="K57" s="694">
        <v>0</v>
      </c>
      <c r="L57" s="102">
        <f t="shared" si="12"/>
        <v>6</v>
      </c>
      <c r="M57" s="50">
        <f t="shared" si="7"/>
        <v>0</v>
      </c>
      <c r="N57" s="102">
        <f t="shared" si="13"/>
        <v>0</v>
      </c>
      <c r="O57" s="102">
        <f t="shared" si="14"/>
        <v>6</v>
      </c>
      <c r="P57" s="102">
        <f t="shared" si="15"/>
        <v>0</v>
      </c>
      <c r="Q57" s="103">
        <f t="shared" si="16"/>
        <v>6</v>
      </c>
    </row>
    <row r="58" spans="1:17" s="56" customFormat="1" ht="26.2">
      <c r="A58" s="693"/>
      <c r="B58" s="238"/>
      <c r="C58" s="218" t="s">
        <v>165</v>
      </c>
      <c r="D58" s="218"/>
      <c r="E58" s="219"/>
      <c r="F58" s="311"/>
      <c r="G58" s="240"/>
      <c r="H58" s="240"/>
      <c r="I58" s="694"/>
      <c r="J58" s="694"/>
      <c r="K58" s="694"/>
      <c r="L58" s="102">
        <f t="shared" si="12"/>
        <v>0</v>
      </c>
      <c r="M58" s="50">
        <f t="shared" si="7"/>
        <v>0</v>
      </c>
      <c r="N58" s="102">
        <f t="shared" si="13"/>
        <v>0</v>
      </c>
      <c r="O58" s="102">
        <f t="shared" si="14"/>
        <v>0</v>
      </c>
      <c r="P58" s="102">
        <f t="shared" si="15"/>
        <v>0</v>
      </c>
      <c r="Q58" s="103">
        <f t="shared" si="16"/>
        <v>0</v>
      </c>
    </row>
    <row r="59" spans="1:17" s="56" customFormat="1">
      <c r="A59" s="693">
        <v>43</v>
      </c>
      <c r="B59" s="238"/>
      <c r="C59" s="224" t="s">
        <v>166</v>
      </c>
      <c r="D59" s="224" t="s">
        <v>120</v>
      </c>
      <c r="E59" s="219" t="s">
        <v>118</v>
      </c>
      <c r="F59" s="311">
        <v>2</v>
      </c>
      <c r="G59" s="240">
        <v>0.65</v>
      </c>
      <c r="H59" s="240">
        <v>10</v>
      </c>
      <c r="I59" s="694">
        <v>6.5</v>
      </c>
      <c r="J59" s="694">
        <v>8.39</v>
      </c>
      <c r="K59" s="694">
        <v>0.97499999999999998</v>
      </c>
      <c r="L59" s="102">
        <f t="shared" si="12"/>
        <v>15.865</v>
      </c>
      <c r="M59" s="50">
        <f t="shared" si="7"/>
        <v>1.3</v>
      </c>
      <c r="N59" s="102">
        <f t="shared" si="13"/>
        <v>13</v>
      </c>
      <c r="O59" s="102">
        <f t="shared" si="14"/>
        <v>16.78</v>
      </c>
      <c r="P59" s="102">
        <f t="shared" si="15"/>
        <v>1.95</v>
      </c>
      <c r="Q59" s="103">
        <f t="shared" si="16"/>
        <v>31.73</v>
      </c>
    </row>
    <row r="60" spans="1:17" s="56" customFormat="1">
      <c r="A60" s="693">
        <v>44</v>
      </c>
      <c r="B60" s="238"/>
      <c r="C60" s="224" t="s">
        <v>167</v>
      </c>
      <c r="D60" s="224"/>
      <c r="E60" s="219" t="s">
        <v>118</v>
      </c>
      <c r="F60" s="311">
        <v>2</v>
      </c>
      <c r="G60" s="240">
        <v>0.25</v>
      </c>
      <c r="H60" s="240">
        <v>10</v>
      </c>
      <c r="I60" s="694">
        <v>2.5</v>
      </c>
      <c r="J60" s="694">
        <v>3.89</v>
      </c>
      <c r="K60" s="694">
        <v>0.375</v>
      </c>
      <c r="L60" s="102">
        <f t="shared" si="12"/>
        <v>6.7650000000000006</v>
      </c>
      <c r="M60" s="50">
        <f t="shared" si="7"/>
        <v>0.5</v>
      </c>
      <c r="N60" s="102">
        <f t="shared" si="13"/>
        <v>5</v>
      </c>
      <c r="O60" s="102">
        <f t="shared" si="14"/>
        <v>7.78</v>
      </c>
      <c r="P60" s="102">
        <f t="shared" si="15"/>
        <v>0.75</v>
      </c>
      <c r="Q60" s="103">
        <f t="shared" si="16"/>
        <v>13.530000000000001</v>
      </c>
    </row>
    <row r="61" spans="1:17" s="56" customFormat="1">
      <c r="A61" s="693">
        <v>45</v>
      </c>
      <c r="B61" s="238"/>
      <c r="C61" s="224" t="s">
        <v>168</v>
      </c>
      <c r="D61" s="224" t="s">
        <v>124</v>
      </c>
      <c r="E61" s="219" t="s">
        <v>169</v>
      </c>
      <c r="F61" s="311" t="s">
        <v>147</v>
      </c>
      <c r="G61" s="240">
        <v>0.7</v>
      </c>
      <c r="H61" s="240">
        <v>10</v>
      </c>
      <c r="I61" s="694">
        <v>7</v>
      </c>
      <c r="J61" s="694">
        <v>1.56</v>
      </c>
      <c r="K61" s="694">
        <v>1.05</v>
      </c>
      <c r="L61" s="102">
        <f t="shared" si="12"/>
        <v>9.6100000000000012</v>
      </c>
      <c r="M61" s="50">
        <f t="shared" si="7"/>
        <v>0.35</v>
      </c>
      <c r="N61" s="102">
        <f t="shared" si="13"/>
        <v>3.5</v>
      </c>
      <c r="O61" s="102">
        <f t="shared" si="14"/>
        <v>0.78</v>
      </c>
      <c r="P61" s="102">
        <f t="shared" si="15"/>
        <v>0.53</v>
      </c>
      <c r="Q61" s="103">
        <f t="shared" si="16"/>
        <v>4.8100000000000005</v>
      </c>
    </row>
    <row r="62" spans="1:17" s="56" customFormat="1">
      <c r="A62" s="693">
        <v>46</v>
      </c>
      <c r="B62" s="238"/>
      <c r="C62" s="224" t="s">
        <v>156</v>
      </c>
      <c r="D62" s="224" t="s">
        <v>124</v>
      </c>
      <c r="E62" s="219" t="s">
        <v>118</v>
      </c>
      <c r="F62" s="311">
        <v>1</v>
      </c>
      <c r="G62" s="240">
        <v>2.4</v>
      </c>
      <c r="H62" s="240">
        <v>10</v>
      </c>
      <c r="I62" s="694">
        <v>24</v>
      </c>
      <c r="J62" s="694">
        <v>18.8</v>
      </c>
      <c r="K62" s="694">
        <v>3.5999999999999996</v>
      </c>
      <c r="L62" s="102">
        <f t="shared" si="12"/>
        <v>46.4</v>
      </c>
      <c r="M62" s="50">
        <f t="shared" si="7"/>
        <v>2.4</v>
      </c>
      <c r="N62" s="102">
        <f t="shared" si="13"/>
        <v>24</v>
      </c>
      <c r="O62" s="102">
        <f t="shared" si="14"/>
        <v>18.8</v>
      </c>
      <c r="P62" s="102">
        <f t="shared" si="15"/>
        <v>3.6</v>
      </c>
      <c r="Q62" s="103">
        <f t="shared" si="16"/>
        <v>46.4</v>
      </c>
    </row>
    <row r="63" spans="1:17" s="56" customFormat="1">
      <c r="A63" s="693">
        <v>47</v>
      </c>
      <c r="B63" s="238"/>
      <c r="C63" s="224" t="s">
        <v>170</v>
      </c>
      <c r="D63" s="224"/>
      <c r="E63" s="219" t="s">
        <v>118</v>
      </c>
      <c r="F63" s="311">
        <v>1</v>
      </c>
      <c r="G63" s="240">
        <v>0.25</v>
      </c>
      <c r="H63" s="240">
        <v>10</v>
      </c>
      <c r="I63" s="694">
        <v>2.5</v>
      </c>
      <c r="J63" s="694">
        <v>1.2</v>
      </c>
      <c r="K63" s="694">
        <v>0.375</v>
      </c>
      <c r="L63" s="102">
        <f t="shared" si="12"/>
        <v>4.0750000000000002</v>
      </c>
      <c r="M63" s="50">
        <f t="shared" si="7"/>
        <v>0.25</v>
      </c>
      <c r="N63" s="102">
        <f t="shared" si="13"/>
        <v>2.5</v>
      </c>
      <c r="O63" s="102">
        <f t="shared" si="14"/>
        <v>1.2</v>
      </c>
      <c r="P63" s="102">
        <f t="shared" si="15"/>
        <v>0.38</v>
      </c>
      <c r="Q63" s="103">
        <f t="shared" si="16"/>
        <v>4.08</v>
      </c>
    </row>
    <row r="64" spans="1:17" s="56" customFormat="1">
      <c r="A64" s="693">
        <v>48</v>
      </c>
      <c r="B64" s="238"/>
      <c r="C64" s="224" t="s">
        <v>164</v>
      </c>
      <c r="D64" s="224"/>
      <c r="E64" s="219" t="s">
        <v>118</v>
      </c>
      <c r="F64" s="311">
        <v>2</v>
      </c>
      <c r="G64" s="240"/>
      <c r="H64" s="240"/>
      <c r="I64" s="694"/>
      <c r="J64" s="694">
        <v>6</v>
      </c>
      <c r="K64" s="694">
        <v>0</v>
      </c>
      <c r="L64" s="102">
        <f t="shared" si="12"/>
        <v>6</v>
      </c>
      <c r="M64" s="50">
        <f t="shared" si="7"/>
        <v>0</v>
      </c>
      <c r="N64" s="102">
        <f t="shared" si="13"/>
        <v>0</v>
      </c>
      <c r="O64" s="102">
        <f t="shared" si="14"/>
        <v>12</v>
      </c>
      <c r="P64" s="102">
        <f t="shared" si="15"/>
        <v>0</v>
      </c>
      <c r="Q64" s="103">
        <f t="shared" si="16"/>
        <v>12</v>
      </c>
    </row>
    <row r="65" spans="1:17" s="56" customFormat="1">
      <c r="A65" s="693">
        <v>49</v>
      </c>
      <c r="B65" s="238"/>
      <c r="C65" s="224" t="s">
        <v>158</v>
      </c>
      <c r="D65" s="224" t="s">
        <v>124</v>
      </c>
      <c r="E65" s="219" t="s">
        <v>118</v>
      </c>
      <c r="F65" s="311">
        <v>1</v>
      </c>
      <c r="G65" s="240">
        <v>0.65</v>
      </c>
      <c r="H65" s="240">
        <v>10</v>
      </c>
      <c r="I65" s="694">
        <v>6.5</v>
      </c>
      <c r="J65" s="694">
        <v>3.98</v>
      </c>
      <c r="K65" s="694">
        <v>0.97499999999999998</v>
      </c>
      <c r="L65" s="102">
        <f t="shared" si="12"/>
        <v>11.455</v>
      </c>
      <c r="M65" s="50">
        <f t="shared" si="7"/>
        <v>0.65</v>
      </c>
      <c r="N65" s="102">
        <f t="shared" si="13"/>
        <v>6.5</v>
      </c>
      <c r="O65" s="102">
        <f t="shared" si="14"/>
        <v>3.98</v>
      </c>
      <c r="P65" s="102">
        <f t="shared" si="15"/>
        <v>0.98</v>
      </c>
      <c r="Q65" s="103">
        <f t="shared" si="16"/>
        <v>11.46</v>
      </c>
    </row>
    <row r="66" spans="1:17" s="56" customFormat="1">
      <c r="A66" s="693">
        <v>50</v>
      </c>
      <c r="B66" s="238"/>
      <c r="C66" s="224" t="s">
        <v>155</v>
      </c>
      <c r="D66" s="224" t="s">
        <v>124</v>
      </c>
      <c r="E66" s="219" t="s">
        <v>118</v>
      </c>
      <c r="F66" s="311">
        <v>1</v>
      </c>
      <c r="G66" s="240">
        <v>0.65</v>
      </c>
      <c r="H66" s="240">
        <v>10</v>
      </c>
      <c r="I66" s="694">
        <v>6.5</v>
      </c>
      <c r="J66" s="694">
        <v>4.4400000000000004</v>
      </c>
      <c r="K66" s="694">
        <v>0.97499999999999998</v>
      </c>
      <c r="L66" s="102">
        <f t="shared" si="12"/>
        <v>11.915000000000001</v>
      </c>
      <c r="M66" s="50">
        <f t="shared" si="7"/>
        <v>0.65</v>
      </c>
      <c r="N66" s="102">
        <f t="shared" si="13"/>
        <v>6.5</v>
      </c>
      <c r="O66" s="102">
        <f t="shared" si="14"/>
        <v>4.4400000000000004</v>
      </c>
      <c r="P66" s="102">
        <f t="shared" si="15"/>
        <v>0.98</v>
      </c>
      <c r="Q66" s="103">
        <f t="shared" si="16"/>
        <v>11.920000000000002</v>
      </c>
    </row>
    <row r="67" spans="1:17" s="56" customFormat="1">
      <c r="A67" s="693">
        <v>51</v>
      </c>
      <c r="B67" s="238"/>
      <c r="C67" s="224" t="s">
        <v>171</v>
      </c>
      <c r="D67" s="224" t="s">
        <v>120</v>
      </c>
      <c r="E67" s="219" t="s">
        <v>118</v>
      </c>
      <c r="F67" s="311">
        <v>1</v>
      </c>
      <c r="G67" s="240">
        <v>0.65</v>
      </c>
      <c r="H67" s="240">
        <v>10</v>
      </c>
      <c r="I67" s="694">
        <v>6.5</v>
      </c>
      <c r="J67" s="694">
        <v>8.18</v>
      </c>
      <c r="K67" s="694">
        <v>0.97499999999999998</v>
      </c>
      <c r="L67" s="102">
        <f t="shared" si="12"/>
        <v>15.654999999999999</v>
      </c>
      <c r="M67" s="50">
        <f t="shared" si="7"/>
        <v>0.65</v>
      </c>
      <c r="N67" s="102">
        <f t="shared" si="13"/>
        <v>6.5</v>
      </c>
      <c r="O67" s="102">
        <f t="shared" si="14"/>
        <v>8.18</v>
      </c>
      <c r="P67" s="102">
        <f t="shared" si="15"/>
        <v>0.98</v>
      </c>
      <c r="Q67" s="103">
        <f t="shared" si="16"/>
        <v>15.66</v>
      </c>
    </row>
    <row r="68" spans="1:17" s="56" customFormat="1" ht="26.2">
      <c r="A68" s="693"/>
      <c r="B68" s="238"/>
      <c r="C68" s="218" t="s">
        <v>172</v>
      </c>
      <c r="D68" s="218"/>
      <c r="E68" s="219"/>
      <c r="F68" s="311"/>
      <c r="G68" s="240"/>
      <c r="H68" s="240"/>
      <c r="I68" s="694"/>
      <c r="J68" s="694"/>
      <c r="K68" s="694"/>
      <c r="L68" s="102">
        <f t="shared" si="12"/>
        <v>0</v>
      </c>
      <c r="M68" s="50">
        <f t="shared" si="7"/>
        <v>0</v>
      </c>
      <c r="N68" s="102">
        <f t="shared" si="13"/>
        <v>0</v>
      </c>
      <c r="O68" s="102">
        <f t="shared" si="14"/>
        <v>0</v>
      </c>
      <c r="P68" s="102">
        <f t="shared" si="15"/>
        <v>0</v>
      </c>
      <c r="Q68" s="103">
        <f t="shared" si="16"/>
        <v>0</v>
      </c>
    </row>
    <row r="69" spans="1:17" s="56" customFormat="1">
      <c r="A69" s="693">
        <v>52</v>
      </c>
      <c r="B69" s="238"/>
      <c r="C69" s="224" t="s">
        <v>173</v>
      </c>
      <c r="D69" s="224" t="s">
        <v>150</v>
      </c>
      <c r="E69" s="219" t="s">
        <v>111</v>
      </c>
      <c r="F69" s="311">
        <v>4</v>
      </c>
      <c r="G69" s="240">
        <v>1.2</v>
      </c>
      <c r="H69" s="240">
        <v>10</v>
      </c>
      <c r="I69" s="694">
        <v>12</v>
      </c>
      <c r="J69" s="694">
        <v>15.88</v>
      </c>
      <c r="K69" s="694">
        <v>1.7999999999999998</v>
      </c>
      <c r="L69" s="102">
        <f t="shared" si="12"/>
        <v>29.680000000000003</v>
      </c>
      <c r="M69" s="50">
        <f t="shared" si="7"/>
        <v>4.8</v>
      </c>
      <c r="N69" s="102">
        <f t="shared" si="13"/>
        <v>48</v>
      </c>
      <c r="O69" s="102">
        <f t="shared" si="14"/>
        <v>63.52</v>
      </c>
      <c r="P69" s="102">
        <f t="shared" si="15"/>
        <v>7.2</v>
      </c>
      <c r="Q69" s="103">
        <f t="shared" si="16"/>
        <v>118.72000000000001</v>
      </c>
    </row>
    <row r="70" spans="1:17" s="56" customFormat="1">
      <c r="A70" s="693">
        <v>53</v>
      </c>
      <c r="B70" s="238"/>
      <c r="C70" s="224" t="s">
        <v>174</v>
      </c>
      <c r="D70" s="224" t="s">
        <v>175</v>
      </c>
      <c r="E70" s="219" t="s">
        <v>111</v>
      </c>
      <c r="F70" s="311">
        <v>337</v>
      </c>
      <c r="G70" s="240">
        <v>1.1000000000000001</v>
      </c>
      <c r="H70" s="240">
        <v>10</v>
      </c>
      <c r="I70" s="694">
        <v>11</v>
      </c>
      <c r="J70" s="694">
        <v>9.52</v>
      </c>
      <c r="K70" s="694">
        <v>1.65</v>
      </c>
      <c r="L70" s="102">
        <f t="shared" si="12"/>
        <v>22.169999999999998</v>
      </c>
      <c r="M70" s="50">
        <f t="shared" si="7"/>
        <v>370.7</v>
      </c>
      <c r="N70" s="102">
        <f t="shared" si="13"/>
        <v>3707</v>
      </c>
      <c r="O70" s="102">
        <f t="shared" si="14"/>
        <v>3208.24</v>
      </c>
      <c r="P70" s="102">
        <f t="shared" si="15"/>
        <v>556.04999999999995</v>
      </c>
      <c r="Q70" s="103">
        <f t="shared" si="16"/>
        <v>7471.29</v>
      </c>
    </row>
    <row r="71" spans="1:17" s="56" customFormat="1">
      <c r="A71" s="693">
        <v>54</v>
      </c>
      <c r="B71" s="238"/>
      <c r="C71" s="224" t="s">
        <v>176</v>
      </c>
      <c r="D71" s="224" t="s">
        <v>175</v>
      </c>
      <c r="E71" s="219" t="s">
        <v>118</v>
      </c>
      <c r="F71" s="311">
        <v>8</v>
      </c>
      <c r="G71" s="240">
        <v>0.65</v>
      </c>
      <c r="H71" s="240">
        <v>10</v>
      </c>
      <c r="I71" s="694">
        <v>6.5</v>
      </c>
      <c r="J71" s="694">
        <v>4.07</v>
      </c>
      <c r="K71" s="694">
        <v>0.97499999999999998</v>
      </c>
      <c r="L71" s="102">
        <f t="shared" si="12"/>
        <v>11.545</v>
      </c>
      <c r="M71" s="50">
        <f t="shared" si="7"/>
        <v>5.2</v>
      </c>
      <c r="N71" s="102">
        <f t="shared" si="13"/>
        <v>52</v>
      </c>
      <c r="O71" s="102">
        <f t="shared" si="14"/>
        <v>32.56</v>
      </c>
      <c r="P71" s="102">
        <f t="shared" si="15"/>
        <v>7.8</v>
      </c>
      <c r="Q71" s="103">
        <f t="shared" si="16"/>
        <v>92.36</v>
      </c>
    </row>
    <row r="72" spans="1:17" s="56" customFormat="1">
      <c r="A72" s="693">
        <v>55</v>
      </c>
      <c r="B72" s="238"/>
      <c r="C72" s="224" t="s">
        <v>177</v>
      </c>
      <c r="D72" s="224" t="s">
        <v>175</v>
      </c>
      <c r="E72" s="219" t="s">
        <v>118</v>
      </c>
      <c r="F72" s="311">
        <v>11</v>
      </c>
      <c r="G72" s="240">
        <v>0.3</v>
      </c>
      <c r="H72" s="240">
        <v>10</v>
      </c>
      <c r="I72" s="694">
        <v>3</v>
      </c>
      <c r="J72" s="694">
        <v>5.57</v>
      </c>
      <c r="K72" s="694">
        <v>0.44999999999999996</v>
      </c>
      <c r="L72" s="102">
        <f t="shared" si="12"/>
        <v>9.02</v>
      </c>
      <c r="M72" s="50">
        <f t="shared" si="7"/>
        <v>3.3</v>
      </c>
      <c r="N72" s="102">
        <f t="shared" si="13"/>
        <v>33</v>
      </c>
      <c r="O72" s="102">
        <f t="shared" si="14"/>
        <v>61.27</v>
      </c>
      <c r="P72" s="102">
        <f t="shared" si="15"/>
        <v>4.95</v>
      </c>
      <c r="Q72" s="103">
        <f t="shared" si="16"/>
        <v>99.220000000000013</v>
      </c>
    </row>
    <row r="73" spans="1:17" s="56" customFormat="1" ht="24.9">
      <c r="A73" s="693">
        <v>56</v>
      </c>
      <c r="B73" s="238"/>
      <c r="C73" s="224" t="s">
        <v>178</v>
      </c>
      <c r="D73" s="224"/>
      <c r="E73" s="219" t="s">
        <v>118</v>
      </c>
      <c r="F73" s="311">
        <v>11</v>
      </c>
      <c r="G73" s="240">
        <v>0.35</v>
      </c>
      <c r="H73" s="240">
        <v>10</v>
      </c>
      <c r="I73" s="694">
        <v>3.5</v>
      </c>
      <c r="J73" s="694">
        <v>24.96</v>
      </c>
      <c r="K73" s="694">
        <v>0.52500000000000002</v>
      </c>
      <c r="L73" s="102">
        <f t="shared" si="12"/>
        <v>28.984999999999999</v>
      </c>
      <c r="M73" s="50">
        <f t="shared" si="7"/>
        <v>3.85</v>
      </c>
      <c r="N73" s="102">
        <f t="shared" si="13"/>
        <v>38.5</v>
      </c>
      <c r="O73" s="102">
        <f t="shared" si="14"/>
        <v>274.56</v>
      </c>
      <c r="P73" s="102">
        <f t="shared" si="15"/>
        <v>5.78</v>
      </c>
      <c r="Q73" s="103">
        <f t="shared" si="16"/>
        <v>318.83999999999997</v>
      </c>
    </row>
    <row r="74" spans="1:17" s="56" customFormat="1" ht="37.35">
      <c r="A74" s="693">
        <v>57</v>
      </c>
      <c r="B74" s="238"/>
      <c r="C74" s="224" t="s">
        <v>179</v>
      </c>
      <c r="D74" s="224"/>
      <c r="E74" s="219" t="s">
        <v>136</v>
      </c>
      <c r="F74" s="311">
        <v>11</v>
      </c>
      <c r="G74" s="240">
        <v>2.2000000000000002</v>
      </c>
      <c r="H74" s="240">
        <v>10</v>
      </c>
      <c r="I74" s="694">
        <v>22</v>
      </c>
      <c r="J74" s="694">
        <v>89.54</v>
      </c>
      <c r="K74" s="694">
        <v>3.3</v>
      </c>
      <c r="L74" s="102">
        <f t="shared" si="12"/>
        <v>114.84</v>
      </c>
      <c r="M74" s="50">
        <f t="shared" si="7"/>
        <v>24.2</v>
      </c>
      <c r="N74" s="102">
        <f t="shared" si="13"/>
        <v>242</v>
      </c>
      <c r="O74" s="102">
        <f t="shared" si="14"/>
        <v>984.94</v>
      </c>
      <c r="P74" s="102">
        <f t="shared" si="15"/>
        <v>36.299999999999997</v>
      </c>
      <c r="Q74" s="103">
        <f t="shared" si="16"/>
        <v>1263.24</v>
      </c>
    </row>
    <row r="75" spans="1:17" s="56" customFormat="1">
      <c r="A75" s="693">
        <v>58</v>
      </c>
      <c r="B75" s="238"/>
      <c r="C75" s="224" t="s">
        <v>180</v>
      </c>
      <c r="D75" s="224" t="s">
        <v>175</v>
      </c>
      <c r="E75" s="219" t="s">
        <v>118</v>
      </c>
      <c r="F75" s="311">
        <v>11</v>
      </c>
      <c r="G75" s="240">
        <v>0.3</v>
      </c>
      <c r="H75" s="240">
        <v>10</v>
      </c>
      <c r="I75" s="694">
        <v>3</v>
      </c>
      <c r="J75" s="694">
        <v>33.79</v>
      </c>
      <c r="K75" s="694">
        <v>0.44999999999999996</v>
      </c>
      <c r="L75" s="102">
        <f t="shared" si="12"/>
        <v>37.24</v>
      </c>
      <c r="M75" s="50">
        <f t="shared" si="7"/>
        <v>3.3</v>
      </c>
      <c r="N75" s="102">
        <f t="shared" si="13"/>
        <v>33</v>
      </c>
      <c r="O75" s="102">
        <f t="shared" si="14"/>
        <v>371.69</v>
      </c>
      <c r="P75" s="102">
        <f t="shared" si="15"/>
        <v>4.95</v>
      </c>
      <c r="Q75" s="103">
        <f t="shared" si="16"/>
        <v>409.64</v>
      </c>
    </row>
    <row r="76" spans="1:17" s="56" customFormat="1">
      <c r="A76" s="693">
        <v>59</v>
      </c>
      <c r="B76" s="238"/>
      <c r="C76" s="224" t="s">
        <v>181</v>
      </c>
      <c r="D76" s="224" t="s">
        <v>175</v>
      </c>
      <c r="E76" s="219" t="s">
        <v>118</v>
      </c>
      <c r="F76" s="311">
        <v>11</v>
      </c>
      <c r="G76" s="240">
        <v>0.3</v>
      </c>
      <c r="H76" s="240">
        <v>10</v>
      </c>
      <c r="I76" s="694">
        <v>3</v>
      </c>
      <c r="J76" s="694">
        <v>16.600000000000001</v>
      </c>
      <c r="K76" s="694">
        <v>0.44999999999999996</v>
      </c>
      <c r="L76" s="102">
        <f t="shared" si="12"/>
        <v>20.05</v>
      </c>
      <c r="M76" s="50">
        <f t="shared" si="7"/>
        <v>3.3</v>
      </c>
      <c r="N76" s="102">
        <f t="shared" si="13"/>
        <v>33</v>
      </c>
      <c r="O76" s="102">
        <f t="shared" si="14"/>
        <v>182.6</v>
      </c>
      <c r="P76" s="102">
        <f t="shared" si="15"/>
        <v>4.95</v>
      </c>
      <c r="Q76" s="103">
        <f t="shared" si="16"/>
        <v>220.54999999999998</v>
      </c>
    </row>
    <row r="77" spans="1:17" s="56" customFormat="1">
      <c r="A77" s="693">
        <v>60</v>
      </c>
      <c r="B77" s="238"/>
      <c r="C77" s="224" t="s">
        <v>182</v>
      </c>
      <c r="D77" s="224" t="s">
        <v>175</v>
      </c>
      <c r="E77" s="219" t="s">
        <v>118</v>
      </c>
      <c r="F77" s="311">
        <v>11</v>
      </c>
      <c r="G77" s="240">
        <v>0.3</v>
      </c>
      <c r="H77" s="240">
        <v>10</v>
      </c>
      <c r="I77" s="694">
        <v>3</v>
      </c>
      <c r="J77" s="694">
        <v>23.98</v>
      </c>
      <c r="K77" s="694">
        <v>0.44999999999999996</v>
      </c>
      <c r="L77" s="102">
        <f t="shared" si="12"/>
        <v>27.43</v>
      </c>
      <c r="M77" s="50">
        <f t="shared" si="7"/>
        <v>3.3</v>
      </c>
      <c r="N77" s="102">
        <f t="shared" si="13"/>
        <v>33</v>
      </c>
      <c r="O77" s="102">
        <f t="shared" si="14"/>
        <v>263.77999999999997</v>
      </c>
      <c r="P77" s="102">
        <f t="shared" si="15"/>
        <v>4.95</v>
      </c>
      <c r="Q77" s="103">
        <f t="shared" si="16"/>
        <v>301.72999999999996</v>
      </c>
    </row>
    <row r="78" spans="1:17" s="56" customFormat="1">
      <c r="A78" s="693">
        <v>61</v>
      </c>
      <c r="B78" s="238"/>
      <c r="C78" s="224" t="s">
        <v>183</v>
      </c>
      <c r="D78" s="224" t="s">
        <v>184</v>
      </c>
      <c r="E78" s="219" t="s">
        <v>118</v>
      </c>
      <c r="F78" s="311">
        <v>11</v>
      </c>
      <c r="G78" s="240">
        <v>0.8</v>
      </c>
      <c r="H78" s="240">
        <v>10</v>
      </c>
      <c r="I78" s="694">
        <v>8</v>
      </c>
      <c r="J78" s="694">
        <v>96</v>
      </c>
      <c r="K78" s="694">
        <v>1.2</v>
      </c>
      <c r="L78" s="102">
        <f t="shared" si="12"/>
        <v>105.2</v>
      </c>
      <c r="M78" s="50">
        <f t="shared" si="7"/>
        <v>8.8000000000000007</v>
      </c>
      <c r="N78" s="102">
        <f t="shared" si="13"/>
        <v>88</v>
      </c>
      <c r="O78" s="102">
        <f t="shared" si="14"/>
        <v>1056</v>
      </c>
      <c r="P78" s="102">
        <f t="shared" si="15"/>
        <v>13.2</v>
      </c>
      <c r="Q78" s="103">
        <f t="shared" si="16"/>
        <v>1157.2</v>
      </c>
    </row>
    <row r="79" spans="1:17" s="56" customFormat="1">
      <c r="A79" s="693">
        <v>62</v>
      </c>
      <c r="B79" s="238"/>
      <c r="C79" s="224" t="s">
        <v>177</v>
      </c>
      <c r="D79" s="224" t="s">
        <v>175</v>
      </c>
      <c r="E79" s="219" t="s">
        <v>118</v>
      </c>
      <c r="F79" s="311">
        <v>11</v>
      </c>
      <c r="G79" s="240">
        <v>0.3</v>
      </c>
      <c r="H79" s="240">
        <v>10</v>
      </c>
      <c r="I79" s="694">
        <v>3</v>
      </c>
      <c r="J79" s="694">
        <v>12.36</v>
      </c>
      <c r="K79" s="694">
        <v>0.44999999999999996</v>
      </c>
      <c r="L79" s="102">
        <f t="shared" ref="L79:L110" si="17">SUM(I79:K79)</f>
        <v>15.809999999999999</v>
      </c>
      <c r="M79" s="50">
        <f t="shared" ref="M79:M112" si="18">ROUND(G79*F79,2)</f>
        <v>3.3</v>
      </c>
      <c r="N79" s="102">
        <f t="shared" ref="N79:N112" si="19">ROUND(I79*F79,2)</f>
        <v>33</v>
      </c>
      <c r="O79" s="102">
        <f t="shared" ref="O79:O112" si="20">ROUND(J79*F79,2)</f>
        <v>135.96</v>
      </c>
      <c r="P79" s="102">
        <f t="shared" ref="P79:P112" si="21">ROUND(K79*F79,2)</f>
        <v>4.95</v>
      </c>
      <c r="Q79" s="103">
        <f t="shared" ref="Q79:Q110" si="22">SUM(N79:P79)</f>
        <v>173.91</v>
      </c>
    </row>
    <row r="80" spans="1:17" s="56" customFormat="1">
      <c r="A80" s="693">
        <v>63</v>
      </c>
      <c r="B80" s="238"/>
      <c r="C80" s="224" t="s">
        <v>132</v>
      </c>
      <c r="D80" s="224"/>
      <c r="E80" s="219" t="s">
        <v>111</v>
      </c>
      <c r="F80" s="311">
        <v>341</v>
      </c>
      <c r="G80" s="240">
        <v>0.14000000000000001</v>
      </c>
      <c r="H80" s="240">
        <v>10</v>
      </c>
      <c r="I80" s="694">
        <v>1.4</v>
      </c>
      <c r="J80" s="694"/>
      <c r="K80" s="694">
        <v>0.21</v>
      </c>
      <c r="L80" s="102">
        <f t="shared" si="17"/>
        <v>1.6099999999999999</v>
      </c>
      <c r="M80" s="50">
        <f t="shared" si="18"/>
        <v>47.74</v>
      </c>
      <c r="N80" s="102">
        <f t="shared" si="19"/>
        <v>477.4</v>
      </c>
      <c r="O80" s="102">
        <f t="shared" si="20"/>
        <v>0</v>
      </c>
      <c r="P80" s="102">
        <f t="shared" si="21"/>
        <v>71.61</v>
      </c>
      <c r="Q80" s="103">
        <f t="shared" si="22"/>
        <v>549.01</v>
      </c>
    </row>
    <row r="81" spans="1:17" s="56" customFormat="1" ht="62.2">
      <c r="A81" s="693">
        <v>64</v>
      </c>
      <c r="B81" s="238"/>
      <c r="C81" s="224" t="s">
        <v>185</v>
      </c>
      <c r="D81" s="224"/>
      <c r="E81" s="219" t="s">
        <v>136</v>
      </c>
      <c r="F81" s="311">
        <v>1</v>
      </c>
      <c r="G81" s="240">
        <v>8.5</v>
      </c>
      <c r="H81" s="240">
        <v>10</v>
      </c>
      <c r="I81" s="694">
        <v>85</v>
      </c>
      <c r="J81" s="694">
        <v>6369</v>
      </c>
      <c r="K81" s="694">
        <v>12.75</v>
      </c>
      <c r="L81" s="102">
        <f t="shared" si="17"/>
        <v>6466.75</v>
      </c>
      <c r="M81" s="50">
        <f t="shared" si="18"/>
        <v>8.5</v>
      </c>
      <c r="N81" s="102">
        <f t="shared" si="19"/>
        <v>85</v>
      </c>
      <c r="O81" s="102">
        <f t="shared" si="20"/>
        <v>6369</v>
      </c>
      <c r="P81" s="102">
        <f t="shared" si="21"/>
        <v>12.75</v>
      </c>
      <c r="Q81" s="103">
        <f t="shared" si="22"/>
        <v>6466.75</v>
      </c>
    </row>
    <row r="82" spans="1:17" s="56" customFormat="1" ht="24.9">
      <c r="A82" s="693">
        <v>65</v>
      </c>
      <c r="B82" s="238"/>
      <c r="C82" s="224" t="s">
        <v>186</v>
      </c>
      <c r="D82" s="224"/>
      <c r="E82" s="219" t="s">
        <v>136</v>
      </c>
      <c r="F82" s="311">
        <v>1</v>
      </c>
      <c r="G82" s="240">
        <v>58</v>
      </c>
      <c r="H82" s="240">
        <v>10</v>
      </c>
      <c r="I82" s="694">
        <v>580</v>
      </c>
      <c r="J82" s="694">
        <v>1746</v>
      </c>
      <c r="K82" s="694">
        <v>87</v>
      </c>
      <c r="L82" s="102">
        <f t="shared" si="17"/>
        <v>2413</v>
      </c>
      <c r="M82" s="50">
        <f t="shared" si="18"/>
        <v>58</v>
      </c>
      <c r="N82" s="102">
        <f t="shared" si="19"/>
        <v>580</v>
      </c>
      <c r="O82" s="102">
        <f t="shared" si="20"/>
        <v>1746</v>
      </c>
      <c r="P82" s="102">
        <f t="shared" si="21"/>
        <v>87</v>
      </c>
      <c r="Q82" s="103">
        <f t="shared" si="22"/>
        <v>2413</v>
      </c>
    </row>
    <row r="83" spans="1:17" s="56" customFormat="1">
      <c r="A83" s="693"/>
      <c r="B83" s="238"/>
      <c r="C83" s="218" t="s">
        <v>187</v>
      </c>
      <c r="D83" s="218"/>
      <c r="E83" s="219"/>
      <c r="F83" s="311"/>
      <c r="G83" s="240"/>
      <c r="H83" s="240"/>
      <c r="I83" s="694"/>
      <c r="J83" s="694"/>
      <c r="K83" s="694"/>
      <c r="L83" s="102">
        <f t="shared" si="17"/>
        <v>0</v>
      </c>
      <c r="M83" s="50">
        <f t="shared" si="18"/>
        <v>0</v>
      </c>
      <c r="N83" s="102">
        <f t="shared" si="19"/>
        <v>0</v>
      </c>
      <c r="O83" s="102">
        <f t="shared" si="20"/>
        <v>0</v>
      </c>
      <c r="P83" s="102">
        <f t="shared" si="21"/>
        <v>0</v>
      </c>
      <c r="Q83" s="103">
        <f t="shared" si="22"/>
        <v>0</v>
      </c>
    </row>
    <row r="84" spans="1:17" s="56" customFormat="1">
      <c r="A84" s="693">
        <v>66</v>
      </c>
      <c r="B84" s="238"/>
      <c r="C84" s="224" t="s">
        <v>109</v>
      </c>
      <c r="D84" s="224" t="s">
        <v>110</v>
      </c>
      <c r="E84" s="219" t="s">
        <v>111</v>
      </c>
      <c r="F84" s="311">
        <v>15</v>
      </c>
      <c r="G84" s="240">
        <v>0.75</v>
      </c>
      <c r="H84" s="240">
        <v>10</v>
      </c>
      <c r="I84" s="694">
        <v>7.5</v>
      </c>
      <c r="J84" s="694">
        <v>6.51</v>
      </c>
      <c r="K84" s="694">
        <v>1.125</v>
      </c>
      <c r="L84" s="102">
        <f t="shared" si="17"/>
        <v>15.135</v>
      </c>
      <c r="M84" s="50">
        <f t="shared" si="18"/>
        <v>11.25</v>
      </c>
      <c r="N84" s="102">
        <f t="shared" si="19"/>
        <v>112.5</v>
      </c>
      <c r="O84" s="102">
        <f t="shared" si="20"/>
        <v>97.65</v>
      </c>
      <c r="P84" s="102">
        <f t="shared" si="21"/>
        <v>16.88</v>
      </c>
      <c r="Q84" s="103">
        <f t="shared" si="22"/>
        <v>227.03</v>
      </c>
    </row>
    <row r="85" spans="1:17" s="56" customFormat="1">
      <c r="A85" s="693">
        <v>67</v>
      </c>
      <c r="B85" s="238"/>
      <c r="C85" s="224" t="s">
        <v>109</v>
      </c>
      <c r="D85" s="224" t="s">
        <v>112</v>
      </c>
      <c r="E85" s="219" t="s">
        <v>111</v>
      </c>
      <c r="F85" s="311">
        <v>130</v>
      </c>
      <c r="G85" s="240">
        <v>0.75</v>
      </c>
      <c r="H85" s="240">
        <v>10</v>
      </c>
      <c r="I85" s="694">
        <v>7.5</v>
      </c>
      <c r="J85" s="694">
        <v>3.31</v>
      </c>
      <c r="K85" s="694">
        <v>1.125</v>
      </c>
      <c r="L85" s="102">
        <f t="shared" si="17"/>
        <v>11.935</v>
      </c>
      <c r="M85" s="50">
        <f t="shared" si="18"/>
        <v>97.5</v>
      </c>
      <c r="N85" s="102">
        <f t="shared" si="19"/>
        <v>975</v>
      </c>
      <c r="O85" s="102">
        <f t="shared" si="20"/>
        <v>430.3</v>
      </c>
      <c r="P85" s="102">
        <f t="shared" si="21"/>
        <v>146.25</v>
      </c>
      <c r="Q85" s="103">
        <f t="shared" si="22"/>
        <v>1551.55</v>
      </c>
    </row>
    <row r="86" spans="1:17" s="56" customFormat="1">
      <c r="A86" s="693">
        <v>68</v>
      </c>
      <c r="B86" s="238"/>
      <c r="C86" s="224" t="s">
        <v>109</v>
      </c>
      <c r="D86" s="224" t="s">
        <v>113</v>
      </c>
      <c r="E86" s="219" t="s">
        <v>111</v>
      </c>
      <c r="F86" s="311">
        <v>25</v>
      </c>
      <c r="G86" s="240">
        <v>0.75</v>
      </c>
      <c r="H86" s="240">
        <v>10</v>
      </c>
      <c r="I86" s="694">
        <v>7.5</v>
      </c>
      <c r="J86" s="694">
        <v>1.99</v>
      </c>
      <c r="K86" s="694">
        <v>1.125</v>
      </c>
      <c r="L86" s="102">
        <f t="shared" si="17"/>
        <v>10.615</v>
      </c>
      <c r="M86" s="50">
        <f t="shared" si="18"/>
        <v>18.75</v>
      </c>
      <c r="N86" s="102">
        <f t="shared" si="19"/>
        <v>187.5</v>
      </c>
      <c r="O86" s="102">
        <f t="shared" si="20"/>
        <v>49.75</v>
      </c>
      <c r="P86" s="102">
        <f t="shared" si="21"/>
        <v>28.13</v>
      </c>
      <c r="Q86" s="103">
        <f t="shared" si="22"/>
        <v>265.38</v>
      </c>
    </row>
    <row r="87" spans="1:17" s="56" customFormat="1">
      <c r="A87" s="693">
        <v>69</v>
      </c>
      <c r="B87" s="238"/>
      <c r="C87" s="224" t="s">
        <v>109</v>
      </c>
      <c r="D87" s="224" t="s">
        <v>114</v>
      </c>
      <c r="E87" s="219" t="s">
        <v>111</v>
      </c>
      <c r="F87" s="311">
        <v>145</v>
      </c>
      <c r="G87" s="240">
        <v>0.75</v>
      </c>
      <c r="H87" s="240">
        <v>10</v>
      </c>
      <c r="I87" s="694">
        <v>7.5</v>
      </c>
      <c r="J87" s="694">
        <v>1.19</v>
      </c>
      <c r="K87" s="694">
        <v>1.125</v>
      </c>
      <c r="L87" s="102">
        <f t="shared" si="17"/>
        <v>9.8149999999999995</v>
      </c>
      <c r="M87" s="50">
        <f t="shared" si="18"/>
        <v>108.75</v>
      </c>
      <c r="N87" s="102">
        <f t="shared" si="19"/>
        <v>1087.5</v>
      </c>
      <c r="O87" s="102">
        <f t="shared" si="20"/>
        <v>172.55</v>
      </c>
      <c r="P87" s="102">
        <f t="shared" si="21"/>
        <v>163.13</v>
      </c>
      <c r="Q87" s="103">
        <f t="shared" si="22"/>
        <v>1423.1799999999998</v>
      </c>
    </row>
    <row r="88" spans="1:17" s="56" customFormat="1">
      <c r="A88" s="693">
        <v>70</v>
      </c>
      <c r="B88" s="238"/>
      <c r="C88" s="224" t="s">
        <v>116</v>
      </c>
      <c r="D88" s="224" t="s">
        <v>117</v>
      </c>
      <c r="E88" s="219" t="s">
        <v>118</v>
      </c>
      <c r="F88" s="311">
        <v>1</v>
      </c>
      <c r="G88" s="240">
        <v>0.65</v>
      </c>
      <c r="H88" s="240">
        <v>10</v>
      </c>
      <c r="I88" s="694">
        <v>6.5</v>
      </c>
      <c r="J88" s="694">
        <v>9.49</v>
      </c>
      <c r="K88" s="694">
        <v>0.97499999999999998</v>
      </c>
      <c r="L88" s="102">
        <f t="shared" si="17"/>
        <v>16.965</v>
      </c>
      <c r="M88" s="50">
        <f t="shared" si="18"/>
        <v>0.65</v>
      </c>
      <c r="N88" s="102">
        <f t="shared" si="19"/>
        <v>6.5</v>
      </c>
      <c r="O88" s="102">
        <f t="shared" si="20"/>
        <v>9.49</v>
      </c>
      <c r="P88" s="102">
        <f t="shared" si="21"/>
        <v>0.98</v>
      </c>
      <c r="Q88" s="103">
        <f t="shared" si="22"/>
        <v>16.97</v>
      </c>
    </row>
    <row r="89" spans="1:17" s="56" customFormat="1">
      <c r="A89" s="693">
        <v>71</v>
      </c>
      <c r="B89" s="238"/>
      <c r="C89" s="224" t="s">
        <v>166</v>
      </c>
      <c r="D89" s="224" t="s">
        <v>120</v>
      </c>
      <c r="E89" s="219" t="s">
        <v>118</v>
      </c>
      <c r="F89" s="311">
        <v>2</v>
      </c>
      <c r="G89" s="240">
        <v>0.65</v>
      </c>
      <c r="H89" s="240">
        <v>10</v>
      </c>
      <c r="I89" s="694">
        <v>6.5</v>
      </c>
      <c r="J89" s="694">
        <v>8.39</v>
      </c>
      <c r="K89" s="694">
        <v>0.97499999999999998</v>
      </c>
      <c r="L89" s="102">
        <f t="shared" si="17"/>
        <v>15.865</v>
      </c>
      <c r="M89" s="50">
        <f t="shared" si="18"/>
        <v>1.3</v>
      </c>
      <c r="N89" s="102">
        <f t="shared" si="19"/>
        <v>13</v>
      </c>
      <c r="O89" s="102">
        <f t="shared" si="20"/>
        <v>16.78</v>
      </c>
      <c r="P89" s="102">
        <f t="shared" si="21"/>
        <v>1.95</v>
      </c>
      <c r="Q89" s="103">
        <f t="shared" si="22"/>
        <v>31.73</v>
      </c>
    </row>
    <row r="90" spans="1:17" s="56" customFormat="1">
      <c r="A90" s="693">
        <v>72</v>
      </c>
      <c r="B90" s="238"/>
      <c r="C90" s="224" t="s">
        <v>188</v>
      </c>
      <c r="D90" s="224" t="s">
        <v>122</v>
      </c>
      <c r="E90" s="219" t="s">
        <v>118</v>
      </c>
      <c r="F90" s="311">
        <v>1</v>
      </c>
      <c r="G90" s="240">
        <v>0.65</v>
      </c>
      <c r="H90" s="240">
        <v>10</v>
      </c>
      <c r="I90" s="694">
        <v>6.5</v>
      </c>
      <c r="J90" s="694">
        <v>5.04</v>
      </c>
      <c r="K90" s="694">
        <v>0.97499999999999998</v>
      </c>
      <c r="L90" s="102">
        <f t="shared" si="17"/>
        <v>12.514999999999999</v>
      </c>
      <c r="M90" s="50">
        <f t="shared" si="18"/>
        <v>0.65</v>
      </c>
      <c r="N90" s="102">
        <f t="shared" si="19"/>
        <v>6.5</v>
      </c>
      <c r="O90" s="102">
        <f t="shared" si="20"/>
        <v>5.04</v>
      </c>
      <c r="P90" s="102">
        <f t="shared" si="21"/>
        <v>0.98</v>
      </c>
      <c r="Q90" s="103">
        <f t="shared" si="22"/>
        <v>12.52</v>
      </c>
    </row>
    <row r="91" spans="1:17" s="56" customFormat="1">
      <c r="A91" s="693">
        <v>73</v>
      </c>
      <c r="B91" s="238"/>
      <c r="C91" s="224" t="s">
        <v>123</v>
      </c>
      <c r="D91" s="224" t="s">
        <v>124</v>
      </c>
      <c r="E91" s="219" t="s">
        <v>118</v>
      </c>
      <c r="F91" s="311">
        <v>2</v>
      </c>
      <c r="G91" s="240">
        <v>0.65</v>
      </c>
      <c r="H91" s="240">
        <v>10</v>
      </c>
      <c r="I91" s="694">
        <v>6.5</v>
      </c>
      <c r="J91" s="694">
        <v>3.17</v>
      </c>
      <c r="K91" s="694">
        <v>0.97499999999999998</v>
      </c>
      <c r="L91" s="102">
        <f t="shared" si="17"/>
        <v>10.645</v>
      </c>
      <c r="M91" s="50">
        <f t="shared" si="18"/>
        <v>1.3</v>
      </c>
      <c r="N91" s="102">
        <f t="shared" si="19"/>
        <v>13</v>
      </c>
      <c r="O91" s="102">
        <f t="shared" si="20"/>
        <v>6.34</v>
      </c>
      <c r="P91" s="102">
        <f t="shared" si="21"/>
        <v>1.95</v>
      </c>
      <c r="Q91" s="103">
        <f t="shared" si="22"/>
        <v>21.29</v>
      </c>
    </row>
    <row r="92" spans="1:17" s="56" customFormat="1">
      <c r="A92" s="693">
        <v>74</v>
      </c>
      <c r="B92" s="238"/>
      <c r="C92" s="224" t="s">
        <v>126</v>
      </c>
      <c r="D92" s="224" t="s">
        <v>124</v>
      </c>
      <c r="E92" s="219" t="s">
        <v>118</v>
      </c>
      <c r="F92" s="311">
        <v>3</v>
      </c>
      <c r="G92" s="240">
        <v>0.65</v>
      </c>
      <c r="H92" s="240">
        <v>10</v>
      </c>
      <c r="I92" s="694">
        <v>6.5</v>
      </c>
      <c r="J92" s="694">
        <v>4.07</v>
      </c>
      <c r="K92" s="694">
        <v>0.97499999999999998</v>
      </c>
      <c r="L92" s="102">
        <f t="shared" si="17"/>
        <v>11.545</v>
      </c>
      <c r="M92" s="50">
        <f t="shared" si="18"/>
        <v>1.95</v>
      </c>
      <c r="N92" s="102">
        <f t="shared" si="19"/>
        <v>19.5</v>
      </c>
      <c r="O92" s="102">
        <f t="shared" si="20"/>
        <v>12.21</v>
      </c>
      <c r="P92" s="102">
        <f t="shared" si="21"/>
        <v>2.93</v>
      </c>
      <c r="Q92" s="103">
        <f t="shared" si="22"/>
        <v>34.64</v>
      </c>
    </row>
    <row r="93" spans="1:17" s="56" customFormat="1">
      <c r="A93" s="693">
        <v>75</v>
      </c>
      <c r="B93" s="238"/>
      <c r="C93" s="224" t="s">
        <v>127</v>
      </c>
      <c r="D93" s="224" t="s">
        <v>124</v>
      </c>
      <c r="E93" s="219" t="s">
        <v>118</v>
      </c>
      <c r="F93" s="311">
        <v>34</v>
      </c>
      <c r="G93" s="240">
        <v>0.65</v>
      </c>
      <c r="H93" s="240">
        <v>10</v>
      </c>
      <c r="I93" s="694">
        <v>6.5</v>
      </c>
      <c r="J93" s="694">
        <v>3.43</v>
      </c>
      <c r="K93" s="694">
        <v>0.97499999999999998</v>
      </c>
      <c r="L93" s="102">
        <f t="shared" si="17"/>
        <v>10.904999999999999</v>
      </c>
      <c r="M93" s="50">
        <f t="shared" si="18"/>
        <v>22.1</v>
      </c>
      <c r="N93" s="102">
        <f t="shared" si="19"/>
        <v>221</v>
      </c>
      <c r="O93" s="102">
        <f t="shared" si="20"/>
        <v>116.62</v>
      </c>
      <c r="P93" s="102">
        <f t="shared" si="21"/>
        <v>33.15</v>
      </c>
      <c r="Q93" s="103">
        <f t="shared" si="22"/>
        <v>370.77</v>
      </c>
    </row>
    <row r="94" spans="1:17" s="56" customFormat="1">
      <c r="A94" s="693">
        <v>76</v>
      </c>
      <c r="B94" s="238"/>
      <c r="C94" s="224" t="s">
        <v>189</v>
      </c>
      <c r="D94" s="224" t="s">
        <v>122</v>
      </c>
      <c r="E94" s="219" t="s">
        <v>118</v>
      </c>
      <c r="F94" s="311">
        <v>1</v>
      </c>
      <c r="G94" s="240">
        <v>0.25</v>
      </c>
      <c r="H94" s="240">
        <v>10</v>
      </c>
      <c r="I94" s="694">
        <v>2.5</v>
      </c>
      <c r="J94" s="694">
        <v>3.89</v>
      </c>
      <c r="K94" s="694">
        <v>0.375</v>
      </c>
      <c r="L94" s="102">
        <f t="shared" si="17"/>
        <v>6.7650000000000006</v>
      </c>
      <c r="M94" s="50">
        <f t="shared" si="18"/>
        <v>0.25</v>
      </c>
      <c r="N94" s="102">
        <f t="shared" si="19"/>
        <v>2.5</v>
      </c>
      <c r="O94" s="102">
        <f t="shared" si="20"/>
        <v>3.89</v>
      </c>
      <c r="P94" s="102">
        <f t="shared" si="21"/>
        <v>0.38</v>
      </c>
      <c r="Q94" s="103">
        <f t="shared" si="22"/>
        <v>6.7700000000000005</v>
      </c>
    </row>
    <row r="95" spans="1:17" s="56" customFormat="1">
      <c r="A95" s="693">
        <v>77</v>
      </c>
      <c r="B95" s="238"/>
      <c r="C95" s="224" t="s">
        <v>130</v>
      </c>
      <c r="D95" s="224" t="s">
        <v>124</v>
      </c>
      <c r="E95" s="219" t="s">
        <v>118</v>
      </c>
      <c r="F95" s="311">
        <v>1</v>
      </c>
      <c r="G95" s="240">
        <v>0.25</v>
      </c>
      <c r="H95" s="240">
        <v>10</v>
      </c>
      <c r="I95" s="694">
        <v>2.5</v>
      </c>
      <c r="J95" s="694">
        <v>2.69</v>
      </c>
      <c r="K95" s="694">
        <v>0.375</v>
      </c>
      <c r="L95" s="102">
        <f t="shared" si="17"/>
        <v>5.5649999999999995</v>
      </c>
      <c r="M95" s="50">
        <f t="shared" si="18"/>
        <v>0.25</v>
      </c>
      <c r="N95" s="102">
        <f t="shared" si="19"/>
        <v>2.5</v>
      </c>
      <c r="O95" s="102">
        <f t="shared" si="20"/>
        <v>2.69</v>
      </c>
      <c r="P95" s="102">
        <f t="shared" si="21"/>
        <v>0.38</v>
      </c>
      <c r="Q95" s="103">
        <f t="shared" si="22"/>
        <v>5.5699999999999994</v>
      </c>
    </row>
    <row r="96" spans="1:17" s="56" customFormat="1">
      <c r="A96" s="693">
        <v>78</v>
      </c>
      <c r="B96" s="238"/>
      <c r="C96" s="224" t="s">
        <v>190</v>
      </c>
      <c r="D96" s="224"/>
      <c r="E96" s="219" t="s">
        <v>111</v>
      </c>
      <c r="F96" s="311">
        <v>315</v>
      </c>
      <c r="G96" s="240">
        <v>0.3</v>
      </c>
      <c r="H96" s="240">
        <v>10</v>
      </c>
      <c r="I96" s="694">
        <v>3</v>
      </c>
      <c r="J96" s="694">
        <v>0.92</v>
      </c>
      <c r="K96" s="694">
        <v>0.44999999999999996</v>
      </c>
      <c r="L96" s="102">
        <f t="shared" si="17"/>
        <v>4.37</v>
      </c>
      <c r="M96" s="50">
        <f t="shared" si="18"/>
        <v>94.5</v>
      </c>
      <c r="N96" s="102">
        <f t="shared" si="19"/>
        <v>945</v>
      </c>
      <c r="O96" s="102">
        <f t="shared" si="20"/>
        <v>289.8</v>
      </c>
      <c r="P96" s="102">
        <f t="shared" si="21"/>
        <v>141.75</v>
      </c>
      <c r="Q96" s="103">
        <f t="shared" si="22"/>
        <v>1376.55</v>
      </c>
    </row>
    <row r="97" spans="1:17" s="56" customFormat="1">
      <c r="A97" s="693">
        <v>79</v>
      </c>
      <c r="B97" s="238"/>
      <c r="C97" s="224" t="s">
        <v>132</v>
      </c>
      <c r="D97" s="224"/>
      <c r="E97" s="219" t="s">
        <v>111</v>
      </c>
      <c r="F97" s="311">
        <v>315</v>
      </c>
      <c r="G97" s="240">
        <v>0.14000000000000001</v>
      </c>
      <c r="H97" s="240">
        <v>10</v>
      </c>
      <c r="I97" s="694">
        <v>1.4</v>
      </c>
      <c r="J97" s="694"/>
      <c r="K97" s="694">
        <v>0.21</v>
      </c>
      <c r="L97" s="102">
        <f t="shared" si="17"/>
        <v>1.6099999999999999</v>
      </c>
      <c r="M97" s="50">
        <f t="shared" si="18"/>
        <v>44.1</v>
      </c>
      <c r="N97" s="102">
        <f t="shared" si="19"/>
        <v>441</v>
      </c>
      <c r="O97" s="102">
        <f t="shared" si="20"/>
        <v>0</v>
      </c>
      <c r="P97" s="102">
        <f t="shared" si="21"/>
        <v>66.150000000000006</v>
      </c>
      <c r="Q97" s="103">
        <f t="shared" si="22"/>
        <v>507.15</v>
      </c>
    </row>
    <row r="98" spans="1:17" s="56" customFormat="1">
      <c r="A98" s="693">
        <v>80</v>
      </c>
      <c r="B98" s="238"/>
      <c r="C98" s="224" t="s">
        <v>191</v>
      </c>
      <c r="D98" s="224"/>
      <c r="E98" s="219" t="s">
        <v>111</v>
      </c>
      <c r="F98" s="311">
        <v>315</v>
      </c>
      <c r="G98" s="240">
        <v>0.14000000000000001</v>
      </c>
      <c r="H98" s="240">
        <v>10</v>
      </c>
      <c r="I98" s="694">
        <v>1.4</v>
      </c>
      <c r="J98" s="694"/>
      <c r="K98" s="694">
        <v>0.21</v>
      </c>
      <c r="L98" s="102">
        <f t="shared" si="17"/>
        <v>1.6099999999999999</v>
      </c>
      <c r="M98" s="50">
        <f t="shared" si="18"/>
        <v>44.1</v>
      </c>
      <c r="N98" s="102">
        <f t="shared" si="19"/>
        <v>441</v>
      </c>
      <c r="O98" s="102">
        <f t="shared" si="20"/>
        <v>0</v>
      </c>
      <c r="P98" s="102">
        <f t="shared" si="21"/>
        <v>66.150000000000006</v>
      </c>
      <c r="Q98" s="103">
        <f t="shared" si="22"/>
        <v>507.15</v>
      </c>
    </row>
    <row r="99" spans="1:17" s="56" customFormat="1" ht="24.9">
      <c r="A99" s="693">
        <v>81</v>
      </c>
      <c r="B99" s="238"/>
      <c r="C99" s="224" t="s">
        <v>140</v>
      </c>
      <c r="D99" s="224"/>
      <c r="E99" s="219" t="s">
        <v>136</v>
      </c>
      <c r="F99" s="311">
        <v>1</v>
      </c>
      <c r="G99" s="240">
        <v>6.5</v>
      </c>
      <c r="H99" s="240">
        <v>10</v>
      </c>
      <c r="I99" s="694">
        <v>65</v>
      </c>
      <c r="J99" s="694">
        <v>196</v>
      </c>
      <c r="K99" s="694">
        <v>9.75</v>
      </c>
      <c r="L99" s="102">
        <f t="shared" si="17"/>
        <v>270.75</v>
      </c>
      <c r="M99" s="50">
        <f t="shared" si="18"/>
        <v>6.5</v>
      </c>
      <c r="N99" s="102">
        <f t="shared" si="19"/>
        <v>65</v>
      </c>
      <c r="O99" s="102">
        <f t="shared" si="20"/>
        <v>196</v>
      </c>
      <c r="P99" s="102">
        <f t="shared" si="21"/>
        <v>9.75</v>
      </c>
      <c r="Q99" s="103">
        <f t="shared" si="22"/>
        <v>270.75</v>
      </c>
    </row>
    <row r="100" spans="1:17" s="56" customFormat="1">
      <c r="A100" s="693"/>
      <c r="B100" s="238"/>
      <c r="C100" s="218" t="s">
        <v>192</v>
      </c>
      <c r="D100" s="218"/>
      <c r="E100" s="219"/>
      <c r="F100" s="311"/>
      <c r="G100" s="240"/>
      <c r="H100" s="240"/>
      <c r="I100" s="694"/>
      <c r="J100" s="694"/>
      <c r="K100" s="694"/>
      <c r="L100" s="102">
        <f t="shared" si="17"/>
        <v>0</v>
      </c>
      <c r="M100" s="50">
        <f t="shared" si="18"/>
        <v>0</v>
      </c>
      <c r="N100" s="102">
        <f t="shared" si="19"/>
        <v>0</v>
      </c>
      <c r="O100" s="102">
        <f t="shared" si="20"/>
        <v>0</v>
      </c>
      <c r="P100" s="102">
        <f t="shared" si="21"/>
        <v>0</v>
      </c>
      <c r="Q100" s="103">
        <f t="shared" si="22"/>
        <v>0</v>
      </c>
    </row>
    <row r="101" spans="1:17" s="56" customFormat="1">
      <c r="A101" s="693">
        <v>82</v>
      </c>
      <c r="B101" s="238"/>
      <c r="C101" s="224" t="s">
        <v>109</v>
      </c>
      <c r="D101" s="224" t="s">
        <v>113</v>
      </c>
      <c r="E101" s="219" t="s">
        <v>111</v>
      </c>
      <c r="F101" s="311">
        <v>10</v>
      </c>
      <c r="G101" s="240">
        <v>0.75</v>
      </c>
      <c r="H101" s="240">
        <v>10</v>
      </c>
      <c r="I101" s="694">
        <v>7.5</v>
      </c>
      <c r="J101" s="694">
        <v>1.99</v>
      </c>
      <c r="K101" s="694">
        <v>1.125</v>
      </c>
      <c r="L101" s="102">
        <f t="shared" si="17"/>
        <v>10.615</v>
      </c>
      <c r="M101" s="50">
        <f t="shared" si="18"/>
        <v>7.5</v>
      </c>
      <c r="N101" s="102">
        <f t="shared" si="19"/>
        <v>75</v>
      </c>
      <c r="O101" s="102">
        <f t="shared" si="20"/>
        <v>19.899999999999999</v>
      </c>
      <c r="P101" s="102">
        <f t="shared" si="21"/>
        <v>11.25</v>
      </c>
      <c r="Q101" s="103">
        <f t="shared" si="22"/>
        <v>106.15</v>
      </c>
    </row>
    <row r="102" spans="1:17" s="56" customFormat="1">
      <c r="A102" s="693">
        <v>83</v>
      </c>
      <c r="B102" s="238"/>
      <c r="C102" s="224" t="s">
        <v>109</v>
      </c>
      <c r="D102" s="224" t="s">
        <v>114</v>
      </c>
      <c r="E102" s="219" t="s">
        <v>111</v>
      </c>
      <c r="F102" s="311">
        <v>116</v>
      </c>
      <c r="G102" s="240">
        <v>0.75</v>
      </c>
      <c r="H102" s="240">
        <v>10</v>
      </c>
      <c r="I102" s="694">
        <v>7.5</v>
      </c>
      <c r="J102" s="694">
        <v>1.19</v>
      </c>
      <c r="K102" s="694">
        <v>1.125</v>
      </c>
      <c r="L102" s="102">
        <f t="shared" si="17"/>
        <v>9.8149999999999995</v>
      </c>
      <c r="M102" s="50">
        <f t="shared" si="18"/>
        <v>87</v>
      </c>
      <c r="N102" s="102">
        <f t="shared" si="19"/>
        <v>870</v>
      </c>
      <c r="O102" s="102">
        <f t="shared" si="20"/>
        <v>138.04</v>
      </c>
      <c r="P102" s="102">
        <f t="shared" si="21"/>
        <v>130.5</v>
      </c>
      <c r="Q102" s="103">
        <f t="shared" si="22"/>
        <v>1138.54</v>
      </c>
    </row>
    <row r="103" spans="1:17" s="56" customFormat="1">
      <c r="A103" s="693">
        <v>84</v>
      </c>
      <c r="B103" s="238"/>
      <c r="C103" s="224" t="s">
        <v>109</v>
      </c>
      <c r="D103" s="224" t="s">
        <v>115</v>
      </c>
      <c r="E103" s="219" t="s">
        <v>111</v>
      </c>
      <c r="F103" s="311">
        <v>12</v>
      </c>
      <c r="G103" s="240">
        <v>0.75</v>
      </c>
      <c r="H103" s="240">
        <v>10</v>
      </c>
      <c r="I103" s="694">
        <v>7.5</v>
      </c>
      <c r="J103" s="694">
        <v>0.84</v>
      </c>
      <c r="K103" s="694">
        <v>1.125</v>
      </c>
      <c r="L103" s="102">
        <f t="shared" si="17"/>
        <v>9.4649999999999999</v>
      </c>
      <c r="M103" s="50">
        <f t="shared" si="18"/>
        <v>9</v>
      </c>
      <c r="N103" s="102">
        <f t="shared" si="19"/>
        <v>90</v>
      </c>
      <c r="O103" s="102">
        <f t="shared" si="20"/>
        <v>10.08</v>
      </c>
      <c r="P103" s="102">
        <f t="shared" si="21"/>
        <v>13.5</v>
      </c>
      <c r="Q103" s="103">
        <f t="shared" si="22"/>
        <v>113.58</v>
      </c>
    </row>
    <row r="104" spans="1:17" s="56" customFormat="1">
      <c r="A104" s="693">
        <v>85</v>
      </c>
      <c r="B104" s="238"/>
      <c r="C104" s="224" t="s">
        <v>193</v>
      </c>
      <c r="D104" s="224" t="s">
        <v>122</v>
      </c>
      <c r="E104" s="219" t="s">
        <v>118</v>
      </c>
      <c r="F104" s="311">
        <v>1</v>
      </c>
      <c r="G104" s="240">
        <v>0.65</v>
      </c>
      <c r="H104" s="240">
        <v>10</v>
      </c>
      <c r="I104" s="694">
        <v>6.5</v>
      </c>
      <c r="J104" s="694">
        <v>7.58</v>
      </c>
      <c r="K104" s="694">
        <v>0.97499999999999998</v>
      </c>
      <c r="L104" s="102">
        <f t="shared" si="17"/>
        <v>15.055</v>
      </c>
      <c r="M104" s="50">
        <f t="shared" si="18"/>
        <v>0.65</v>
      </c>
      <c r="N104" s="102">
        <f t="shared" si="19"/>
        <v>6.5</v>
      </c>
      <c r="O104" s="102">
        <f t="shared" si="20"/>
        <v>7.58</v>
      </c>
      <c r="P104" s="102">
        <f t="shared" si="21"/>
        <v>0.98</v>
      </c>
      <c r="Q104" s="103">
        <f t="shared" si="22"/>
        <v>15.06</v>
      </c>
    </row>
    <row r="105" spans="1:17" s="56" customFormat="1">
      <c r="A105" s="693">
        <v>86</v>
      </c>
      <c r="B105" s="238"/>
      <c r="C105" s="224" t="s">
        <v>123</v>
      </c>
      <c r="D105" s="224" t="s">
        <v>124</v>
      </c>
      <c r="E105" s="219" t="s">
        <v>118</v>
      </c>
      <c r="F105" s="311">
        <v>2</v>
      </c>
      <c r="G105" s="240">
        <v>0.65</v>
      </c>
      <c r="H105" s="240">
        <v>10</v>
      </c>
      <c r="I105" s="694">
        <v>6.5</v>
      </c>
      <c r="J105" s="694">
        <v>3.17</v>
      </c>
      <c r="K105" s="694">
        <v>0.97499999999999998</v>
      </c>
      <c r="L105" s="102">
        <f t="shared" si="17"/>
        <v>10.645</v>
      </c>
      <c r="M105" s="50">
        <f t="shared" si="18"/>
        <v>1.3</v>
      </c>
      <c r="N105" s="102">
        <f t="shared" si="19"/>
        <v>13</v>
      </c>
      <c r="O105" s="102">
        <f t="shared" si="20"/>
        <v>6.34</v>
      </c>
      <c r="P105" s="102">
        <f t="shared" si="21"/>
        <v>1.95</v>
      </c>
      <c r="Q105" s="103">
        <f t="shared" si="22"/>
        <v>21.29</v>
      </c>
    </row>
    <row r="106" spans="1:17" s="56" customFormat="1">
      <c r="A106" s="693">
        <v>87</v>
      </c>
      <c r="B106" s="238"/>
      <c r="C106" s="224" t="s">
        <v>194</v>
      </c>
      <c r="D106" s="224" t="s">
        <v>128</v>
      </c>
      <c r="E106" s="219" t="s">
        <v>118</v>
      </c>
      <c r="F106" s="311">
        <v>1</v>
      </c>
      <c r="G106" s="240">
        <v>0.65</v>
      </c>
      <c r="H106" s="240">
        <v>10</v>
      </c>
      <c r="I106" s="694">
        <v>6.5</v>
      </c>
      <c r="J106" s="694">
        <v>2.88</v>
      </c>
      <c r="K106" s="694">
        <v>0.97499999999999998</v>
      </c>
      <c r="L106" s="102">
        <f t="shared" si="17"/>
        <v>10.354999999999999</v>
      </c>
      <c r="M106" s="50">
        <f t="shared" si="18"/>
        <v>0.65</v>
      </c>
      <c r="N106" s="102">
        <f t="shared" si="19"/>
        <v>6.5</v>
      </c>
      <c r="O106" s="102">
        <f t="shared" si="20"/>
        <v>2.88</v>
      </c>
      <c r="P106" s="102">
        <f t="shared" si="21"/>
        <v>0.98</v>
      </c>
      <c r="Q106" s="103">
        <f t="shared" si="22"/>
        <v>10.36</v>
      </c>
    </row>
    <row r="107" spans="1:17" s="56" customFormat="1">
      <c r="A107" s="693">
        <v>88</v>
      </c>
      <c r="B107" s="238"/>
      <c r="C107" s="224" t="s">
        <v>126</v>
      </c>
      <c r="D107" s="224" t="s">
        <v>124</v>
      </c>
      <c r="E107" s="219" t="s">
        <v>118</v>
      </c>
      <c r="F107" s="311">
        <v>1</v>
      </c>
      <c r="G107" s="240">
        <v>0.65</v>
      </c>
      <c r="H107" s="240">
        <v>10</v>
      </c>
      <c r="I107" s="694">
        <v>6.5</v>
      </c>
      <c r="J107" s="694">
        <v>4.07</v>
      </c>
      <c r="K107" s="694">
        <v>0.97499999999999998</v>
      </c>
      <c r="L107" s="102">
        <f t="shared" si="17"/>
        <v>11.545</v>
      </c>
      <c r="M107" s="50">
        <f t="shared" si="18"/>
        <v>0.65</v>
      </c>
      <c r="N107" s="102">
        <f t="shared" si="19"/>
        <v>6.5</v>
      </c>
      <c r="O107" s="102">
        <f t="shared" si="20"/>
        <v>4.07</v>
      </c>
      <c r="P107" s="102">
        <f t="shared" si="21"/>
        <v>0.98</v>
      </c>
      <c r="Q107" s="103">
        <f t="shared" si="22"/>
        <v>11.55</v>
      </c>
    </row>
    <row r="108" spans="1:17" s="56" customFormat="1">
      <c r="A108" s="693">
        <v>89</v>
      </c>
      <c r="B108" s="238"/>
      <c r="C108" s="224" t="s">
        <v>130</v>
      </c>
      <c r="D108" s="224" t="s">
        <v>124</v>
      </c>
      <c r="E108" s="219" t="s">
        <v>118</v>
      </c>
      <c r="F108" s="311">
        <v>1</v>
      </c>
      <c r="G108" s="240">
        <v>0.65</v>
      </c>
      <c r="H108" s="240">
        <v>10</v>
      </c>
      <c r="I108" s="694">
        <v>6.5</v>
      </c>
      <c r="J108" s="694">
        <v>3.43</v>
      </c>
      <c r="K108" s="694">
        <v>0.97499999999999998</v>
      </c>
      <c r="L108" s="102">
        <f t="shared" si="17"/>
        <v>10.904999999999999</v>
      </c>
      <c r="M108" s="50">
        <f t="shared" si="18"/>
        <v>0.65</v>
      </c>
      <c r="N108" s="102">
        <f t="shared" si="19"/>
        <v>6.5</v>
      </c>
      <c r="O108" s="102">
        <f t="shared" si="20"/>
        <v>3.43</v>
      </c>
      <c r="P108" s="102">
        <f t="shared" si="21"/>
        <v>0.98</v>
      </c>
      <c r="Q108" s="103">
        <f t="shared" si="22"/>
        <v>10.91</v>
      </c>
    </row>
    <row r="109" spans="1:17" s="56" customFormat="1">
      <c r="A109" s="693">
        <v>90</v>
      </c>
      <c r="B109" s="238"/>
      <c r="C109" s="224" t="s">
        <v>195</v>
      </c>
      <c r="D109" s="224"/>
      <c r="E109" s="219" t="s">
        <v>111</v>
      </c>
      <c r="F109" s="311">
        <v>138</v>
      </c>
      <c r="G109" s="240">
        <v>0.14000000000000001</v>
      </c>
      <c r="H109" s="240">
        <v>10</v>
      </c>
      <c r="I109" s="694">
        <v>1.4</v>
      </c>
      <c r="J109" s="694"/>
      <c r="K109" s="694">
        <v>0.21</v>
      </c>
      <c r="L109" s="102">
        <f t="shared" si="17"/>
        <v>1.6099999999999999</v>
      </c>
      <c r="M109" s="50">
        <f t="shared" si="18"/>
        <v>19.32</v>
      </c>
      <c r="N109" s="102">
        <f t="shared" si="19"/>
        <v>193.2</v>
      </c>
      <c r="O109" s="102">
        <f t="shared" si="20"/>
        <v>0</v>
      </c>
      <c r="P109" s="102">
        <f t="shared" si="21"/>
        <v>28.98</v>
      </c>
      <c r="Q109" s="103">
        <f t="shared" si="22"/>
        <v>222.17999999999998</v>
      </c>
    </row>
    <row r="110" spans="1:17" s="56" customFormat="1">
      <c r="A110" s="693">
        <v>91</v>
      </c>
      <c r="B110" s="238"/>
      <c r="C110" s="224" t="s">
        <v>190</v>
      </c>
      <c r="D110" s="224"/>
      <c r="E110" s="219" t="s">
        <v>111</v>
      </c>
      <c r="F110" s="311">
        <v>138</v>
      </c>
      <c r="G110" s="240">
        <v>0.3</v>
      </c>
      <c r="H110" s="240">
        <v>10</v>
      </c>
      <c r="I110" s="694">
        <v>3</v>
      </c>
      <c r="J110" s="694">
        <v>0.92</v>
      </c>
      <c r="K110" s="694">
        <v>0.44999999999999996</v>
      </c>
      <c r="L110" s="102">
        <f t="shared" si="17"/>
        <v>4.37</v>
      </c>
      <c r="M110" s="50">
        <f t="shared" si="18"/>
        <v>41.4</v>
      </c>
      <c r="N110" s="102">
        <f t="shared" si="19"/>
        <v>414</v>
      </c>
      <c r="O110" s="102">
        <f t="shared" si="20"/>
        <v>126.96</v>
      </c>
      <c r="P110" s="102">
        <f t="shared" si="21"/>
        <v>62.1</v>
      </c>
      <c r="Q110" s="103">
        <f t="shared" si="22"/>
        <v>603.06000000000006</v>
      </c>
    </row>
    <row r="111" spans="1:17" s="56" customFormat="1">
      <c r="A111" s="693">
        <v>92</v>
      </c>
      <c r="B111" s="238"/>
      <c r="C111" s="224" t="s">
        <v>132</v>
      </c>
      <c r="D111" s="224"/>
      <c r="E111" s="219" t="s">
        <v>111</v>
      </c>
      <c r="F111" s="311">
        <v>138</v>
      </c>
      <c r="G111" s="240">
        <v>0.14000000000000001</v>
      </c>
      <c r="H111" s="240">
        <v>10</v>
      </c>
      <c r="I111" s="694">
        <v>1.4</v>
      </c>
      <c r="J111" s="694"/>
      <c r="K111" s="694">
        <v>0.21</v>
      </c>
      <c r="L111" s="102">
        <f t="shared" ref="L111:L112" si="23">SUM(I111:K111)</f>
        <v>1.6099999999999999</v>
      </c>
      <c r="M111" s="50">
        <f t="shared" si="18"/>
        <v>19.32</v>
      </c>
      <c r="N111" s="102">
        <f t="shared" si="19"/>
        <v>193.2</v>
      </c>
      <c r="O111" s="102">
        <f t="shared" si="20"/>
        <v>0</v>
      </c>
      <c r="P111" s="102">
        <f t="shared" si="21"/>
        <v>28.98</v>
      </c>
      <c r="Q111" s="103">
        <f t="shared" ref="Q111:Q112" si="24">SUM(N111:P111)</f>
        <v>222.17999999999998</v>
      </c>
    </row>
    <row r="112" spans="1:17" s="56" customFormat="1" ht="25.55" thickBot="1">
      <c r="A112" s="693">
        <v>93</v>
      </c>
      <c r="B112" s="238"/>
      <c r="C112" s="224" t="s">
        <v>140</v>
      </c>
      <c r="D112" s="224"/>
      <c r="E112" s="219" t="s">
        <v>136</v>
      </c>
      <c r="F112" s="311">
        <v>1</v>
      </c>
      <c r="G112" s="240">
        <v>2.2000000000000002</v>
      </c>
      <c r="H112" s="240">
        <v>10</v>
      </c>
      <c r="I112" s="694">
        <v>22</v>
      </c>
      <c r="J112" s="694">
        <v>67</v>
      </c>
      <c r="K112" s="694">
        <v>3.3</v>
      </c>
      <c r="L112" s="102">
        <f t="shared" si="23"/>
        <v>92.3</v>
      </c>
      <c r="M112" s="50">
        <f t="shared" si="18"/>
        <v>2.2000000000000002</v>
      </c>
      <c r="N112" s="102">
        <f t="shared" si="19"/>
        <v>22</v>
      </c>
      <c r="O112" s="102">
        <f t="shared" si="20"/>
        <v>67</v>
      </c>
      <c r="P112" s="102">
        <f t="shared" si="21"/>
        <v>3.3</v>
      </c>
      <c r="Q112" s="103">
        <f t="shared" si="24"/>
        <v>92.3</v>
      </c>
    </row>
    <row r="113" spans="1:17" s="56" customFormat="1" ht="15.05" thickBot="1">
      <c r="A113" s="196"/>
      <c r="B113" s="197"/>
      <c r="C113" s="198"/>
      <c r="D113" s="198"/>
      <c r="E113" s="199"/>
      <c r="F113" s="200"/>
      <c r="G113" s="201"/>
      <c r="H113" s="201">
        <v>0</v>
      </c>
      <c r="I113" s="202">
        <v>0</v>
      </c>
      <c r="J113" s="202"/>
      <c r="K113" s="202"/>
      <c r="L113" s="203"/>
      <c r="M113" s="203"/>
      <c r="N113" s="203"/>
      <c r="O113" s="203"/>
      <c r="P113" s="203"/>
      <c r="Q113" s="203"/>
    </row>
    <row r="114" spans="1:17" ht="15.05" customHeight="1">
      <c r="A114" s="41"/>
      <c r="B114" s="117"/>
      <c r="C114" s="932" t="s">
        <v>99</v>
      </c>
      <c r="D114" s="932"/>
      <c r="E114" s="933"/>
      <c r="F114" s="933"/>
      <c r="G114" s="933"/>
      <c r="H114" s="933"/>
      <c r="I114" s="933"/>
      <c r="J114" s="933"/>
      <c r="K114" s="933"/>
      <c r="L114" s="933"/>
      <c r="M114" s="42">
        <f>SUM(M13:M113)</f>
        <v>1843.6899999999994</v>
      </c>
      <c r="N114" s="42">
        <f>SUM(N13:N113)</f>
        <v>18435.080000000002</v>
      </c>
      <c r="O114" s="42">
        <f>SUM(O13:O113)</f>
        <v>20194.480000000007</v>
      </c>
      <c r="P114" s="42">
        <f>SUM(P13:P113)</f>
        <v>2765.4100000000008</v>
      </c>
      <c r="Q114" s="42">
        <f>SUM(Q13:Q113)</f>
        <v>41394.970000000008</v>
      </c>
    </row>
    <row r="115" spans="1:17" s="125" customFormat="1">
      <c r="J115" s="146"/>
    </row>
    <row r="116" spans="1:17" s="122" customFormat="1" ht="12.8" customHeight="1">
      <c r="B116" s="147" t="s">
        <v>54</v>
      </c>
    </row>
    <row r="117" spans="1:17" s="122" customFormat="1" ht="45" customHeight="1">
      <c r="A117"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17" s="926"/>
      <c r="C117" s="926"/>
      <c r="D117" s="926"/>
      <c r="E117" s="926"/>
      <c r="F117" s="926"/>
      <c r="G117" s="926"/>
      <c r="H117" s="926"/>
      <c r="I117" s="926"/>
      <c r="J117" s="926"/>
      <c r="K117" s="926"/>
      <c r="L117" s="926"/>
      <c r="M117" s="926"/>
      <c r="N117" s="926"/>
      <c r="O117" s="926"/>
      <c r="P117" s="926"/>
      <c r="Q117" s="926"/>
    </row>
    <row r="118" spans="1:17" s="122" customFormat="1" ht="76.75" customHeight="1">
      <c r="A118" s="925"/>
      <c r="B118" s="925"/>
      <c r="C118" s="925"/>
      <c r="D118" s="925"/>
      <c r="E118" s="925"/>
      <c r="F118" s="925"/>
      <c r="G118" s="925"/>
      <c r="H118" s="925"/>
      <c r="I118" s="925"/>
      <c r="J118" s="925"/>
      <c r="K118" s="925"/>
      <c r="L118" s="925"/>
      <c r="M118" s="925"/>
      <c r="N118" s="925"/>
      <c r="O118" s="925"/>
      <c r="P118" s="925"/>
      <c r="Q118" s="925"/>
    </row>
    <row r="119" spans="1:17" s="122" customFormat="1" ht="12.8" customHeight="1">
      <c r="B119" s="148"/>
    </row>
    <row r="120" spans="1:17" s="122" customFormat="1" ht="12.8" customHeight="1">
      <c r="B120" s="148"/>
    </row>
    <row r="121" spans="1:17" s="125" customFormat="1">
      <c r="B121" s="125" t="s">
        <v>8</v>
      </c>
      <c r="M121" s="157" t="str">
        <f>Koptame!B39</f>
        <v>Pārbaudīja:</v>
      </c>
      <c r="N121" s="157"/>
      <c r="O121" s="157"/>
      <c r="P121" s="157"/>
      <c r="Q121" s="157"/>
    </row>
    <row r="122" spans="1:17" s="125" customFormat="1">
      <c r="C122" s="164" t="str">
        <f>Koptame!C34</f>
        <v>Arnis Gailītis</v>
      </c>
      <c r="D122" s="191"/>
      <c r="M122" s="164"/>
      <c r="N122" s="922" t="str">
        <f>Koptame!C40</f>
        <v>Dzintra Cīrule</v>
      </c>
      <c r="O122" s="922"/>
      <c r="P122" s="157"/>
      <c r="Q122" s="157"/>
    </row>
    <row r="123" spans="1:17" s="125" customFormat="1">
      <c r="C123" s="165" t="str">
        <f>Koptame!C35</f>
        <v>Sertifikāta Nr.20-5643</v>
      </c>
      <c r="D123" s="192"/>
      <c r="M123" s="165"/>
      <c r="N123" s="923" t="str">
        <f>Koptame!C41</f>
        <v>Sertifikāta Nr.10-0363</v>
      </c>
      <c r="O123" s="923"/>
      <c r="P123" s="157"/>
      <c r="Q123" s="157"/>
    </row>
    <row r="124" spans="1:17" s="125" customFormat="1" collapsed="1">
      <c r="B124" s="146"/>
      <c r="G124" s="146"/>
      <c r="H124" s="146"/>
    </row>
  </sheetData>
  <mergeCells count="18">
    <mergeCell ref="G11:L11"/>
    <mergeCell ref="M11:Q11"/>
    <mergeCell ref="C114:L114"/>
    <mergeCell ref="N123:O123"/>
    <mergeCell ref="N122:O122"/>
    <mergeCell ref="A118:Q118"/>
    <mergeCell ref="A117:Q117"/>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5"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46"/>
  <sheetViews>
    <sheetView showZeros="0" view="pageBreakPreview" topLeftCell="A9" zoomScale="90" zoomScaleNormal="100" zoomScaleSheetLayoutView="90" workbookViewId="0">
      <selection activeCell="N27" sqref="N27"/>
    </sheetView>
  </sheetViews>
  <sheetFormatPr defaultColWidth="9.125" defaultRowHeight="14.4"/>
  <cols>
    <col min="1" max="1" width="9" style="19" customWidth="1"/>
    <col min="2" max="2" width="9.375" style="19" customWidth="1"/>
    <col min="3" max="3" width="40.25" style="19" customWidth="1"/>
    <col min="4" max="4" width="16.875" style="19" customWidth="1"/>
    <col min="5" max="5" width="8.125" style="19" customWidth="1"/>
    <col min="6" max="9" width="9.125" style="19"/>
    <col min="10" max="10" width="9.125" style="56"/>
    <col min="11"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21" t="str">
        <f>kops2!B22</f>
        <v>2,2</v>
      </c>
      <c r="J1" s="53"/>
    </row>
    <row r="2" spans="1:17" s="24" customFormat="1">
      <c r="A2" s="919" t="str">
        <f>C13</f>
        <v>Iekšējā kanalizācija</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Q34</f>
        <v>16567.32</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34"/>
      <c r="B12" s="946"/>
      <c r="C12" s="947"/>
      <c r="D12" s="948"/>
      <c r="E12" s="939"/>
      <c r="F12" s="934"/>
      <c r="G12" s="205" t="s">
        <v>26</v>
      </c>
      <c r="H12" s="205" t="s">
        <v>58</v>
      </c>
      <c r="I12" s="205" t="s">
        <v>59</v>
      </c>
      <c r="J12" s="205" t="s">
        <v>95</v>
      </c>
      <c r="K12" s="205" t="s">
        <v>60</v>
      </c>
      <c r="L12" s="205" t="s">
        <v>61</v>
      </c>
      <c r="M12" s="205" t="s">
        <v>18</v>
      </c>
      <c r="N12" s="205" t="s">
        <v>59</v>
      </c>
      <c r="O12" s="205" t="s">
        <v>95</v>
      </c>
      <c r="P12" s="205" t="s">
        <v>60</v>
      </c>
      <c r="Q12" s="205" t="s">
        <v>62</v>
      </c>
    </row>
    <row r="13" spans="1:17" ht="15.05">
      <c r="A13" s="209"/>
      <c r="B13" s="210">
        <v>0</v>
      </c>
      <c r="C13" s="949" t="str">
        <f>kops2!C22</f>
        <v>Iekšējā kanalizācija</v>
      </c>
      <c r="D13" s="950"/>
      <c r="E13" s="212"/>
      <c r="F13" s="213"/>
      <c r="G13" s="214">
        <v>0</v>
      </c>
      <c r="H13" s="215">
        <v>0</v>
      </c>
      <c r="I13" s="216">
        <v>0</v>
      </c>
      <c r="J13" s="215">
        <v>0</v>
      </c>
      <c r="K13" s="215">
        <v>0</v>
      </c>
      <c r="L13" s="215">
        <f t="shared" ref="L13" si="0">SUM(I13:K13)</f>
        <v>0</v>
      </c>
      <c r="M13" s="214">
        <f t="shared" ref="M13" si="1">ROUND(G13*F13,2)</f>
        <v>0</v>
      </c>
      <c r="N13" s="215">
        <f t="shared" ref="N13" si="2">ROUND(I13*F13,2)</f>
        <v>0</v>
      </c>
      <c r="O13" s="215">
        <f t="shared" ref="O13" si="3">ROUND(J13*F13,2)</f>
        <v>0</v>
      </c>
      <c r="P13" s="215">
        <f t="shared" ref="P13" si="4">ROUND(K13*F13,2)</f>
        <v>0</v>
      </c>
      <c r="Q13" s="244">
        <f t="shared" ref="Q13" si="5">SUM(N13:P13)</f>
        <v>0</v>
      </c>
    </row>
    <row r="14" spans="1:17" s="56" customFormat="1">
      <c r="A14" s="217"/>
      <c r="B14" s="238"/>
      <c r="C14" s="218" t="s">
        <v>197</v>
      </c>
      <c r="D14" s="218"/>
      <c r="E14" s="219"/>
      <c r="F14" s="239"/>
      <c r="G14" s="240">
        <v>0</v>
      </c>
      <c r="H14" s="240">
        <v>0</v>
      </c>
      <c r="I14" s="694"/>
      <c r="J14" s="694"/>
      <c r="K14" s="694"/>
      <c r="L14" s="241">
        <v>0</v>
      </c>
      <c r="M14" s="241">
        <v>0</v>
      </c>
      <c r="N14" s="241">
        <v>0</v>
      </c>
      <c r="O14" s="241">
        <v>0</v>
      </c>
      <c r="P14" s="241">
        <v>0</v>
      </c>
      <c r="Q14" s="242">
        <v>0</v>
      </c>
    </row>
    <row r="15" spans="1:17" s="56" customFormat="1">
      <c r="A15" s="217">
        <v>1</v>
      </c>
      <c r="B15" s="238"/>
      <c r="C15" s="224" t="s">
        <v>198</v>
      </c>
      <c r="D15" s="224" t="s">
        <v>199</v>
      </c>
      <c r="E15" s="219" t="s">
        <v>111</v>
      </c>
      <c r="F15" s="311">
        <v>210</v>
      </c>
      <c r="G15" s="240">
        <v>1.3</v>
      </c>
      <c r="H15" s="240">
        <v>10</v>
      </c>
      <c r="I15" s="694">
        <v>13</v>
      </c>
      <c r="J15" s="694">
        <v>3.71</v>
      </c>
      <c r="K15" s="694">
        <v>1.95</v>
      </c>
      <c r="L15" s="102">
        <f t="shared" ref="L15:L32" si="6">SUM(I15:K15)</f>
        <v>18.66</v>
      </c>
      <c r="M15" s="50">
        <f t="shared" ref="M15:M32" si="7">ROUND(G15*F15,2)</f>
        <v>273</v>
      </c>
      <c r="N15" s="102">
        <f t="shared" ref="N15:N32" si="8">ROUND(I15*F15,2)</f>
        <v>2730</v>
      </c>
      <c r="O15" s="102">
        <f t="shared" ref="O15:O32" si="9">ROUND(J15*F15,2)</f>
        <v>779.1</v>
      </c>
      <c r="P15" s="102">
        <f t="shared" ref="P15:P32" si="10">ROUND(K15*F15,2)</f>
        <v>409.5</v>
      </c>
      <c r="Q15" s="103">
        <f t="shared" ref="Q15:Q32" si="11">SUM(N15:P15)</f>
        <v>3918.6</v>
      </c>
    </row>
    <row r="16" spans="1:17" s="56" customFormat="1">
      <c r="A16" s="217">
        <v>2</v>
      </c>
      <c r="B16" s="238"/>
      <c r="C16" s="224" t="s">
        <v>198</v>
      </c>
      <c r="D16" s="224" t="s">
        <v>200</v>
      </c>
      <c r="E16" s="219" t="s">
        <v>111</v>
      </c>
      <c r="F16" s="311">
        <v>48</v>
      </c>
      <c r="G16" s="240">
        <v>1.3</v>
      </c>
      <c r="H16" s="240">
        <v>10</v>
      </c>
      <c r="I16" s="694">
        <v>13</v>
      </c>
      <c r="J16" s="694">
        <v>1.5</v>
      </c>
      <c r="K16" s="694">
        <v>1.95</v>
      </c>
      <c r="L16" s="102">
        <f t="shared" si="6"/>
        <v>16.45</v>
      </c>
      <c r="M16" s="50">
        <f t="shared" si="7"/>
        <v>62.4</v>
      </c>
      <c r="N16" s="102">
        <f t="shared" si="8"/>
        <v>624</v>
      </c>
      <c r="O16" s="102">
        <f t="shared" si="9"/>
        <v>72</v>
      </c>
      <c r="P16" s="102">
        <f t="shared" si="10"/>
        <v>93.6</v>
      </c>
      <c r="Q16" s="103">
        <f t="shared" si="11"/>
        <v>789.6</v>
      </c>
    </row>
    <row r="17" spans="1:17" s="56" customFormat="1" ht="24.9">
      <c r="A17" s="217">
        <v>3</v>
      </c>
      <c r="B17" s="238"/>
      <c r="C17" s="224" t="s">
        <v>201</v>
      </c>
      <c r="D17" s="224" t="s">
        <v>199</v>
      </c>
      <c r="E17" s="219" t="s">
        <v>118</v>
      </c>
      <c r="F17" s="311">
        <v>4</v>
      </c>
      <c r="G17" s="240">
        <v>0.8</v>
      </c>
      <c r="H17" s="240">
        <v>10</v>
      </c>
      <c r="I17" s="694">
        <v>8</v>
      </c>
      <c r="J17" s="694">
        <v>84</v>
      </c>
      <c r="K17" s="694">
        <v>1.2</v>
      </c>
      <c r="L17" s="102">
        <f t="shared" si="6"/>
        <v>93.2</v>
      </c>
      <c r="M17" s="50">
        <f t="shared" si="7"/>
        <v>3.2</v>
      </c>
      <c r="N17" s="102">
        <f t="shared" si="8"/>
        <v>32</v>
      </c>
      <c r="O17" s="102">
        <f t="shared" si="9"/>
        <v>336</v>
      </c>
      <c r="P17" s="102">
        <f t="shared" si="10"/>
        <v>4.8</v>
      </c>
      <c r="Q17" s="103">
        <f t="shared" si="11"/>
        <v>372.8</v>
      </c>
    </row>
    <row r="18" spans="1:17" s="56" customFormat="1">
      <c r="A18" s="217">
        <v>4</v>
      </c>
      <c r="B18" s="238"/>
      <c r="C18" s="224" t="s">
        <v>202</v>
      </c>
      <c r="D18" s="224" t="s">
        <v>199</v>
      </c>
      <c r="E18" s="219" t="s">
        <v>118</v>
      </c>
      <c r="F18" s="311">
        <v>2</v>
      </c>
      <c r="G18" s="240">
        <v>0.8</v>
      </c>
      <c r="H18" s="240">
        <v>10</v>
      </c>
      <c r="I18" s="694">
        <v>8</v>
      </c>
      <c r="J18" s="694">
        <v>36</v>
      </c>
      <c r="K18" s="694">
        <v>1.2</v>
      </c>
      <c r="L18" s="102">
        <f t="shared" si="6"/>
        <v>45.2</v>
      </c>
      <c r="M18" s="50">
        <f t="shared" si="7"/>
        <v>1.6</v>
      </c>
      <c r="N18" s="102">
        <f t="shared" si="8"/>
        <v>16</v>
      </c>
      <c r="O18" s="102">
        <f t="shared" si="9"/>
        <v>72</v>
      </c>
      <c r="P18" s="102">
        <f t="shared" si="10"/>
        <v>2.4</v>
      </c>
      <c r="Q18" s="103">
        <f t="shared" si="11"/>
        <v>90.4</v>
      </c>
    </row>
    <row r="19" spans="1:17" s="56" customFormat="1">
      <c r="A19" s="217">
        <v>5</v>
      </c>
      <c r="B19" s="238"/>
      <c r="C19" s="224" t="s">
        <v>203</v>
      </c>
      <c r="D19" s="224" t="s">
        <v>199</v>
      </c>
      <c r="E19" s="219" t="s">
        <v>118</v>
      </c>
      <c r="F19" s="311">
        <v>2</v>
      </c>
      <c r="G19" s="240">
        <v>0.8</v>
      </c>
      <c r="H19" s="240">
        <v>10</v>
      </c>
      <c r="I19" s="694">
        <v>8</v>
      </c>
      <c r="J19" s="694">
        <v>20.68</v>
      </c>
      <c r="K19" s="694">
        <v>1.2</v>
      </c>
      <c r="L19" s="102">
        <f t="shared" si="6"/>
        <v>29.88</v>
      </c>
      <c r="M19" s="50">
        <f t="shared" si="7"/>
        <v>1.6</v>
      </c>
      <c r="N19" s="102">
        <f t="shared" si="8"/>
        <v>16</v>
      </c>
      <c r="O19" s="102">
        <f t="shared" si="9"/>
        <v>41.36</v>
      </c>
      <c r="P19" s="102">
        <f t="shared" si="10"/>
        <v>2.4</v>
      </c>
      <c r="Q19" s="103">
        <f t="shared" si="11"/>
        <v>59.76</v>
      </c>
    </row>
    <row r="20" spans="1:17" s="56" customFormat="1">
      <c r="A20" s="217">
        <v>6</v>
      </c>
      <c r="B20" s="238"/>
      <c r="C20" s="224" t="s">
        <v>204</v>
      </c>
      <c r="D20" s="224" t="s">
        <v>200</v>
      </c>
      <c r="E20" s="219" t="s">
        <v>118</v>
      </c>
      <c r="F20" s="311">
        <v>11</v>
      </c>
      <c r="G20" s="240">
        <v>2.1</v>
      </c>
      <c r="H20" s="240">
        <v>10</v>
      </c>
      <c r="I20" s="694">
        <v>21</v>
      </c>
      <c r="J20" s="694">
        <v>28.3</v>
      </c>
      <c r="K20" s="694">
        <v>3.15</v>
      </c>
      <c r="L20" s="102">
        <f t="shared" si="6"/>
        <v>52.449999999999996</v>
      </c>
      <c r="M20" s="50">
        <f t="shared" si="7"/>
        <v>23.1</v>
      </c>
      <c r="N20" s="102">
        <f t="shared" si="8"/>
        <v>231</v>
      </c>
      <c r="O20" s="102">
        <f t="shared" si="9"/>
        <v>311.3</v>
      </c>
      <c r="P20" s="102">
        <f t="shared" si="10"/>
        <v>34.65</v>
      </c>
      <c r="Q20" s="103">
        <f t="shared" si="11"/>
        <v>576.94999999999993</v>
      </c>
    </row>
    <row r="21" spans="1:17" s="56" customFormat="1">
      <c r="A21" s="217">
        <v>7</v>
      </c>
      <c r="B21" s="238"/>
      <c r="C21" s="224" t="s">
        <v>205</v>
      </c>
      <c r="D21" s="224" t="s">
        <v>150</v>
      </c>
      <c r="E21" s="219" t="s">
        <v>118</v>
      </c>
      <c r="F21" s="311">
        <v>3</v>
      </c>
      <c r="G21" s="240">
        <v>0.8</v>
      </c>
      <c r="H21" s="240">
        <v>10</v>
      </c>
      <c r="I21" s="694">
        <v>8</v>
      </c>
      <c r="J21" s="694">
        <v>3.06</v>
      </c>
      <c r="K21" s="694">
        <v>1.2</v>
      </c>
      <c r="L21" s="102">
        <f t="shared" si="6"/>
        <v>12.26</v>
      </c>
      <c r="M21" s="50">
        <f t="shared" si="7"/>
        <v>2.4</v>
      </c>
      <c r="N21" s="102">
        <f t="shared" si="8"/>
        <v>24</v>
      </c>
      <c r="O21" s="102">
        <f t="shared" si="9"/>
        <v>9.18</v>
      </c>
      <c r="P21" s="102">
        <f t="shared" si="10"/>
        <v>3.6</v>
      </c>
      <c r="Q21" s="103">
        <f t="shared" si="11"/>
        <v>36.78</v>
      </c>
    </row>
    <row r="22" spans="1:17" s="56" customFormat="1">
      <c r="A22" s="217">
        <v>8</v>
      </c>
      <c r="B22" s="238"/>
      <c r="C22" s="224" t="s">
        <v>205</v>
      </c>
      <c r="D22" s="224" t="s">
        <v>206</v>
      </c>
      <c r="E22" s="219" t="s">
        <v>118</v>
      </c>
      <c r="F22" s="311">
        <v>1</v>
      </c>
      <c r="G22" s="240">
        <v>0.8</v>
      </c>
      <c r="H22" s="240">
        <v>10</v>
      </c>
      <c r="I22" s="694">
        <v>8</v>
      </c>
      <c r="J22" s="694">
        <v>2.58</v>
      </c>
      <c r="K22" s="694">
        <v>1.2</v>
      </c>
      <c r="L22" s="102">
        <f t="shared" si="6"/>
        <v>11.78</v>
      </c>
      <c r="M22" s="50">
        <f t="shared" si="7"/>
        <v>0.8</v>
      </c>
      <c r="N22" s="102">
        <f t="shared" si="8"/>
        <v>8</v>
      </c>
      <c r="O22" s="102">
        <f t="shared" si="9"/>
        <v>2.58</v>
      </c>
      <c r="P22" s="102">
        <f t="shared" si="10"/>
        <v>1.2</v>
      </c>
      <c r="Q22" s="103">
        <f t="shared" si="11"/>
        <v>11.78</v>
      </c>
    </row>
    <row r="23" spans="1:17" s="56" customFormat="1">
      <c r="A23" s="217">
        <v>9</v>
      </c>
      <c r="B23" s="238"/>
      <c r="C23" s="224" t="s">
        <v>207</v>
      </c>
      <c r="D23" s="224" t="s">
        <v>206</v>
      </c>
      <c r="E23" s="219" t="s">
        <v>118</v>
      </c>
      <c r="F23" s="311">
        <v>6</v>
      </c>
      <c r="G23" s="240">
        <v>0.8</v>
      </c>
      <c r="H23" s="240">
        <v>10</v>
      </c>
      <c r="I23" s="694">
        <v>8</v>
      </c>
      <c r="J23" s="694">
        <v>2.02</v>
      </c>
      <c r="K23" s="694">
        <v>1.2</v>
      </c>
      <c r="L23" s="102">
        <f t="shared" si="6"/>
        <v>11.219999999999999</v>
      </c>
      <c r="M23" s="50">
        <f t="shared" si="7"/>
        <v>4.8</v>
      </c>
      <c r="N23" s="102">
        <f t="shared" si="8"/>
        <v>48</v>
      </c>
      <c r="O23" s="102">
        <f t="shared" si="9"/>
        <v>12.12</v>
      </c>
      <c r="P23" s="102">
        <f t="shared" si="10"/>
        <v>7.2</v>
      </c>
      <c r="Q23" s="103">
        <f t="shared" si="11"/>
        <v>67.319999999999993</v>
      </c>
    </row>
    <row r="24" spans="1:17" s="56" customFormat="1">
      <c r="A24" s="217">
        <v>10</v>
      </c>
      <c r="B24" s="238"/>
      <c r="C24" s="224" t="s">
        <v>208</v>
      </c>
      <c r="D24" s="224" t="s">
        <v>209</v>
      </c>
      <c r="E24" s="219" t="s">
        <v>118</v>
      </c>
      <c r="F24" s="311">
        <v>2</v>
      </c>
      <c r="G24" s="240">
        <v>0.7</v>
      </c>
      <c r="H24" s="240">
        <v>10</v>
      </c>
      <c r="I24" s="694">
        <v>7</v>
      </c>
      <c r="J24" s="694">
        <v>16.989999999999998</v>
      </c>
      <c r="K24" s="694">
        <v>1.05</v>
      </c>
      <c r="L24" s="102">
        <f t="shared" si="6"/>
        <v>25.04</v>
      </c>
      <c r="M24" s="50">
        <f t="shared" si="7"/>
        <v>1.4</v>
      </c>
      <c r="N24" s="102">
        <f t="shared" si="8"/>
        <v>14</v>
      </c>
      <c r="O24" s="102">
        <f t="shared" si="9"/>
        <v>33.979999999999997</v>
      </c>
      <c r="P24" s="102">
        <f t="shared" si="10"/>
        <v>2.1</v>
      </c>
      <c r="Q24" s="103">
        <f t="shared" si="11"/>
        <v>50.08</v>
      </c>
    </row>
    <row r="25" spans="1:17" s="56" customFormat="1" ht="24.9">
      <c r="A25" s="217">
        <v>11</v>
      </c>
      <c r="B25" s="238"/>
      <c r="C25" s="224" t="s">
        <v>140</v>
      </c>
      <c r="D25" s="224"/>
      <c r="E25" s="219" t="s">
        <v>136</v>
      </c>
      <c r="F25" s="311">
        <v>1</v>
      </c>
      <c r="G25" s="240">
        <v>11</v>
      </c>
      <c r="H25" s="240">
        <v>10</v>
      </c>
      <c r="I25" s="694">
        <v>110</v>
      </c>
      <c r="J25" s="694">
        <v>321</v>
      </c>
      <c r="K25" s="694">
        <v>16.5</v>
      </c>
      <c r="L25" s="102">
        <f t="shared" si="6"/>
        <v>447.5</v>
      </c>
      <c r="M25" s="50">
        <f t="shared" si="7"/>
        <v>11</v>
      </c>
      <c r="N25" s="102">
        <f t="shared" si="8"/>
        <v>110</v>
      </c>
      <c r="O25" s="102">
        <f t="shared" si="9"/>
        <v>321</v>
      </c>
      <c r="P25" s="102">
        <f t="shared" si="10"/>
        <v>16.5</v>
      </c>
      <c r="Q25" s="103">
        <f t="shared" si="11"/>
        <v>447.5</v>
      </c>
    </row>
    <row r="26" spans="1:17" s="56" customFormat="1">
      <c r="A26" s="217"/>
      <c r="B26" s="238"/>
      <c r="C26" s="218" t="s">
        <v>210</v>
      </c>
      <c r="D26" s="218"/>
      <c r="E26" s="219"/>
      <c r="F26" s="311"/>
      <c r="G26" s="240">
        <v>0</v>
      </c>
      <c r="H26" s="240">
        <v>0</v>
      </c>
      <c r="I26" s="694"/>
      <c r="J26" s="694"/>
      <c r="K26" s="694"/>
      <c r="L26" s="102">
        <f t="shared" si="6"/>
        <v>0</v>
      </c>
      <c r="M26" s="50">
        <f t="shared" si="7"/>
        <v>0</v>
      </c>
      <c r="N26" s="102">
        <f t="shared" si="8"/>
        <v>0</v>
      </c>
      <c r="O26" s="102">
        <f t="shared" si="9"/>
        <v>0</v>
      </c>
      <c r="P26" s="102">
        <f t="shared" si="10"/>
        <v>0</v>
      </c>
      <c r="Q26" s="103">
        <f t="shared" si="11"/>
        <v>0</v>
      </c>
    </row>
    <row r="27" spans="1:17" s="56" customFormat="1" ht="49.75">
      <c r="A27" s="217">
        <v>12</v>
      </c>
      <c r="B27" s="238"/>
      <c r="C27" s="224" t="s">
        <v>211</v>
      </c>
      <c r="D27" s="224"/>
      <c r="E27" s="219" t="s">
        <v>136</v>
      </c>
      <c r="F27" s="311">
        <v>1</v>
      </c>
      <c r="G27" s="240">
        <v>12</v>
      </c>
      <c r="H27" s="240">
        <v>10</v>
      </c>
      <c r="I27" s="694">
        <v>120</v>
      </c>
      <c r="J27" s="694">
        <v>295</v>
      </c>
      <c r="K27" s="694">
        <v>18</v>
      </c>
      <c r="L27" s="102">
        <f t="shared" si="6"/>
        <v>433</v>
      </c>
      <c r="M27" s="50">
        <f t="shared" si="7"/>
        <v>12</v>
      </c>
      <c r="N27" s="102">
        <f t="shared" si="8"/>
        <v>120</v>
      </c>
      <c r="O27" s="102">
        <f t="shared" si="9"/>
        <v>295</v>
      </c>
      <c r="P27" s="102">
        <f t="shared" si="10"/>
        <v>18</v>
      </c>
      <c r="Q27" s="103">
        <f t="shared" si="11"/>
        <v>433</v>
      </c>
    </row>
    <row r="28" spans="1:17" s="56" customFormat="1" ht="37.35">
      <c r="A28" s="217">
        <v>13</v>
      </c>
      <c r="B28" s="238"/>
      <c r="C28" s="224" t="s">
        <v>212</v>
      </c>
      <c r="D28" s="224"/>
      <c r="E28" s="219" t="s">
        <v>136</v>
      </c>
      <c r="F28" s="311">
        <v>17</v>
      </c>
      <c r="G28" s="240">
        <v>8.5</v>
      </c>
      <c r="H28" s="240">
        <v>10</v>
      </c>
      <c r="I28" s="694">
        <v>85</v>
      </c>
      <c r="J28" s="694">
        <v>109</v>
      </c>
      <c r="K28" s="694">
        <v>12.75</v>
      </c>
      <c r="L28" s="102">
        <f t="shared" si="6"/>
        <v>206.75</v>
      </c>
      <c r="M28" s="50">
        <f t="shared" si="7"/>
        <v>144.5</v>
      </c>
      <c r="N28" s="102">
        <f t="shared" si="8"/>
        <v>1445</v>
      </c>
      <c r="O28" s="102">
        <f t="shared" si="9"/>
        <v>1853</v>
      </c>
      <c r="P28" s="102">
        <f t="shared" si="10"/>
        <v>216.75</v>
      </c>
      <c r="Q28" s="103">
        <f t="shared" si="11"/>
        <v>3514.75</v>
      </c>
    </row>
    <row r="29" spans="1:17" s="56" customFormat="1" ht="37.35">
      <c r="A29" s="217">
        <v>14</v>
      </c>
      <c r="B29" s="238"/>
      <c r="C29" s="224" t="s">
        <v>213</v>
      </c>
      <c r="D29" s="224"/>
      <c r="E29" s="219" t="s">
        <v>136</v>
      </c>
      <c r="F29" s="311">
        <v>1</v>
      </c>
      <c r="G29" s="240">
        <v>14</v>
      </c>
      <c r="H29" s="240">
        <v>10</v>
      </c>
      <c r="I29" s="694">
        <v>140</v>
      </c>
      <c r="J29" s="694">
        <v>340</v>
      </c>
      <c r="K29" s="694">
        <v>21</v>
      </c>
      <c r="L29" s="102">
        <f t="shared" si="6"/>
        <v>501</v>
      </c>
      <c r="M29" s="50">
        <f t="shared" si="7"/>
        <v>14</v>
      </c>
      <c r="N29" s="102">
        <f t="shared" si="8"/>
        <v>140</v>
      </c>
      <c r="O29" s="102">
        <f t="shared" si="9"/>
        <v>340</v>
      </c>
      <c r="P29" s="102">
        <f t="shared" si="10"/>
        <v>21</v>
      </c>
      <c r="Q29" s="103">
        <f t="shared" si="11"/>
        <v>501</v>
      </c>
    </row>
    <row r="30" spans="1:17" s="56" customFormat="1" ht="24.9">
      <c r="A30" s="217">
        <v>15</v>
      </c>
      <c r="B30" s="238"/>
      <c r="C30" s="224" t="s">
        <v>214</v>
      </c>
      <c r="D30" s="224"/>
      <c r="E30" s="219" t="s">
        <v>136</v>
      </c>
      <c r="F30" s="311">
        <v>12</v>
      </c>
      <c r="G30" s="240">
        <v>14</v>
      </c>
      <c r="H30" s="240">
        <v>10</v>
      </c>
      <c r="I30" s="694">
        <v>140</v>
      </c>
      <c r="J30" s="694">
        <v>95</v>
      </c>
      <c r="K30" s="694">
        <v>21</v>
      </c>
      <c r="L30" s="102">
        <f t="shared" si="6"/>
        <v>256</v>
      </c>
      <c r="M30" s="50">
        <f t="shared" si="7"/>
        <v>168</v>
      </c>
      <c r="N30" s="102">
        <f t="shared" si="8"/>
        <v>1680</v>
      </c>
      <c r="O30" s="102">
        <f t="shared" si="9"/>
        <v>1140</v>
      </c>
      <c r="P30" s="102">
        <f t="shared" si="10"/>
        <v>252</v>
      </c>
      <c r="Q30" s="103">
        <f t="shared" si="11"/>
        <v>3072</v>
      </c>
    </row>
    <row r="31" spans="1:17" s="56" customFormat="1" ht="24.9">
      <c r="A31" s="217">
        <v>16</v>
      </c>
      <c r="B31" s="238"/>
      <c r="C31" s="224" t="s">
        <v>215</v>
      </c>
      <c r="D31" s="224"/>
      <c r="E31" s="219" t="s">
        <v>136</v>
      </c>
      <c r="F31" s="311">
        <v>4</v>
      </c>
      <c r="G31" s="240">
        <v>14</v>
      </c>
      <c r="H31" s="240">
        <v>10</v>
      </c>
      <c r="I31" s="694">
        <v>140</v>
      </c>
      <c r="J31" s="694">
        <v>104</v>
      </c>
      <c r="K31" s="694">
        <v>21</v>
      </c>
      <c r="L31" s="102">
        <f t="shared" si="6"/>
        <v>265</v>
      </c>
      <c r="M31" s="50">
        <f t="shared" si="7"/>
        <v>56</v>
      </c>
      <c r="N31" s="102">
        <f t="shared" si="8"/>
        <v>560</v>
      </c>
      <c r="O31" s="102">
        <f t="shared" si="9"/>
        <v>416</v>
      </c>
      <c r="P31" s="102">
        <f t="shared" si="10"/>
        <v>84</v>
      </c>
      <c r="Q31" s="103">
        <f t="shared" si="11"/>
        <v>1060</v>
      </c>
    </row>
    <row r="32" spans="1:17" s="56" customFormat="1" ht="24.9">
      <c r="A32" s="217">
        <v>17</v>
      </c>
      <c r="B32" s="238"/>
      <c r="C32" s="224" t="s">
        <v>216</v>
      </c>
      <c r="D32" s="224"/>
      <c r="E32" s="219" t="s">
        <v>136</v>
      </c>
      <c r="F32" s="311">
        <v>10</v>
      </c>
      <c r="G32" s="240">
        <v>9</v>
      </c>
      <c r="H32" s="240">
        <v>10</v>
      </c>
      <c r="I32" s="694">
        <v>90</v>
      </c>
      <c r="J32" s="694">
        <v>53</v>
      </c>
      <c r="K32" s="694">
        <v>13.5</v>
      </c>
      <c r="L32" s="102">
        <f t="shared" si="6"/>
        <v>156.5</v>
      </c>
      <c r="M32" s="50">
        <f t="shared" si="7"/>
        <v>90</v>
      </c>
      <c r="N32" s="102">
        <f t="shared" si="8"/>
        <v>900</v>
      </c>
      <c r="O32" s="102">
        <f t="shared" si="9"/>
        <v>530</v>
      </c>
      <c r="P32" s="102">
        <f t="shared" si="10"/>
        <v>135</v>
      </c>
      <c r="Q32" s="103">
        <f t="shared" si="11"/>
        <v>1565</v>
      </c>
    </row>
    <row r="33" spans="1:17">
      <c r="A33" s="225"/>
      <c r="B33" s="226"/>
      <c r="C33" s="227"/>
      <c r="D33" s="227"/>
      <c r="E33" s="228"/>
      <c r="F33" s="229"/>
      <c r="G33" s="230">
        <v>0</v>
      </c>
      <c r="H33" s="230">
        <v>0</v>
      </c>
      <c r="I33" s="230"/>
      <c r="J33" s="229"/>
      <c r="K33" s="229"/>
      <c r="L33" s="229"/>
      <c r="M33" s="229"/>
      <c r="N33" s="229"/>
      <c r="O33" s="229"/>
      <c r="P33" s="229"/>
      <c r="Q33" s="243"/>
    </row>
    <row r="34" spans="1:17" ht="15.05" customHeight="1">
      <c r="A34" s="206"/>
      <c r="B34" s="207"/>
      <c r="C34" s="951" t="s">
        <v>99</v>
      </c>
      <c r="D34" s="951"/>
      <c r="E34" s="952"/>
      <c r="F34" s="952"/>
      <c r="G34" s="952"/>
      <c r="H34" s="952"/>
      <c r="I34" s="952"/>
      <c r="J34" s="952"/>
      <c r="K34" s="952"/>
      <c r="L34" s="952"/>
      <c r="M34" s="208">
        <f>SUM(M13:M33)</f>
        <v>869.8</v>
      </c>
      <c r="N34" s="208">
        <f>SUM(N13:N33)</f>
        <v>8698</v>
      </c>
      <c r="O34" s="208">
        <f>SUM(O13:O33)</f>
        <v>6564.62</v>
      </c>
      <c r="P34" s="208">
        <f>SUM(P13:P33)</f>
        <v>1304.7000000000003</v>
      </c>
      <c r="Q34" s="208">
        <f>SUM(Q13:Q33)</f>
        <v>16567.32</v>
      </c>
    </row>
    <row r="35" spans="1:17" s="125" customFormat="1">
      <c r="J35" s="146"/>
    </row>
    <row r="36" spans="1:17" s="122" customFormat="1" ht="12.8" customHeight="1">
      <c r="B36" s="147" t="s">
        <v>54</v>
      </c>
    </row>
    <row r="37" spans="1:17" s="122" customFormat="1" ht="45" customHeight="1">
      <c r="A37"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37" s="926"/>
      <c r="C37" s="926"/>
      <c r="D37" s="926"/>
      <c r="E37" s="926"/>
      <c r="F37" s="926"/>
      <c r="G37" s="926"/>
      <c r="H37" s="926"/>
      <c r="I37" s="926"/>
      <c r="J37" s="926"/>
      <c r="K37" s="926"/>
      <c r="L37" s="926"/>
      <c r="M37" s="926"/>
      <c r="N37" s="926"/>
      <c r="O37" s="926"/>
      <c r="P37" s="926"/>
      <c r="Q37" s="926"/>
    </row>
    <row r="38" spans="1:17" s="122" customFormat="1" ht="76.75" customHeight="1">
      <c r="A38" s="925"/>
      <c r="B38" s="925"/>
      <c r="C38" s="925"/>
      <c r="D38" s="925"/>
      <c r="E38" s="925"/>
      <c r="F38" s="925"/>
      <c r="G38" s="925"/>
      <c r="H38" s="925"/>
      <c r="I38" s="925"/>
      <c r="J38" s="925"/>
      <c r="K38" s="925"/>
      <c r="L38" s="925"/>
      <c r="M38" s="925"/>
      <c r="N38" s="925"/>
      <c r="O38" s="925"/>
      <c r="P38" s="925"/>
      <c r="Q38" s="925"/>
    </row>
    <row r="39" spans="1:17" s="122" customFormat="1" ht="12.8" customHeight="1">
      <c r="B39" s="148"/>
    </row>
    <row r="40" spans="1:17" s="122" customFormat="1" ht="12.8" customHeight="1">
      <c r="B40" s="148"/>
    </row>
    <row r="41" spans="1:17" s="125" customFormat="1">
      <c r="B41" s="125" t="s">
        <v>8</v>
      </c>
      <c r="M41" s="157" t="str">
        <f>Koptame!B39</f>
        <v>Pārbaudīja:</v>
      </c>
      <c r="N41" s="157"/>
      <c r="O41" s="157"/>
      <c r="P41" s="157"/>
      <c r="Q41" s="157"/>
    </row>
    <row r="42" spans="1:17" s="125" customFormat="1">
      <c r="C42" s="175" t="str">
        <f>Koptame!C34</f>
        <v>Arnis Gailītis</v>
      </c>
      <c r="D42" s="191"/>
      <c r="M42" s="175"/>
      <c r="N42" s="922" t="str">
        <f>Koptame!C40</f>
        <v>Dzintra Cīrule</v>
      </c>
      <c r="O42" s="922"/>
      <c r="P42" s="157"/>
      <c r="Q42" s="157"/>
    </row>
    <row r="43" spans="1:17" s="125" customFormat="1">
      <c r="C43" s="176" t="str">
        <f>Koptame!C35</f>
        <v>Sertifikāta Nr.20-5643</v>
      </c>
      <c r="D43" s="192"/>
      <c r="M43" s="176"/>
      <c r="N43" s="923" t="str">
        <f>Koptame!C41</f>
        <v>Sertifikāta Nr.10-0363</v>
      </c>
      <c r="O43" s="923"/>
      <c r="P43" s="157"/>
      <c r="Q43" s="157"/>
    </row>
    <row r="44" spans="1:17" s="125" customFormat="1" collapsed="1">
      <c r="B44" s="146"/>
      <c r="G44" s="146"/>
      <c r="H44" s="146"/>
    </row>
    <row r="45" spans="1:17">
      <c r="B45" s="56"/>
      <c r="G45" s="56"/>
      <c r="H45" s="56"/>
      <c r="J45" s="19"/>
    </row>
    <row r="46" spans="1:17">
      <c r="B46" s="56"/>
      <c r="G46" s="56"/>
      <c r="H46" s="56"/>
      <c r="J46" s="19"/>
    </row>
  </sheetData>
  <mergeCells count="18">
    <mergeCell ref="C13:D13"/>
    <mergeCell ref="N42:O42"/>
    <mergeCell ref="C34:L34"/>
    <mergeCell ref="A38:Q38"/>
    <mergeCell ref="N43:O43"/>
    <mergeCell ref="A37:Q37"/>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118"/>
  <sheetViews>
    <sheetView showZeros="0" view="pageBreakPreview" topLeftCell="A94" zoomScale="80" zoomScaleNormal="100" zoomScaleSheetLayoutView="80" workbookViewId="0">
      <selection activeCell="K111" sqref="K111"/>
    </sheetView>
  </sheetViews>
  <sheetFormatPr defaultColWidth="9.125" defaultRowHeight="14.4"/>
  <cols>
    <col min="1" max="1" width="9" style="19" customWidth="1"/>
    <col min="2" max="2" width="10.625" style="19" customWidth="1"/>
    <col min="3" max="3" width="40.25" style="19" customWidth="1"/>
    <col min="4" max="4" width="20.25" style="19" customWidth="1"/>
    <col min="5" max="5" width="8.125" style="19" customWidth="1"/>
    <col min="6" max="9" width="9.125" style="19"/>
    <col min="10" max="10" width="9.125" style="56"/>
    <col min="11" max="12" width="9.125" style="19"/>
    <col min="13" max="13" width="13.37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21" t="str">
        <f>kops2!$B$23</f>
        <v>2,3</v>
      </c>
      <c r="J1" s="53"/>
    </row>
    <row r="2" spans="1:17" s="24" customFormat="1">
      <c r="A2" s="919" t="str">
        <f>C13</f>
        <v>Apkure</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Q106</f>
        <v>76464.709999999992</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209"/>
      <c r="B13" s="210">
        <v>0</v>
      </c>
      <c r="C13" s="949" t="str">
        <f>kops2!C23</f>
        <v>Apkure</v>
      </c>
      <c r="D13" s="950"/>
      <c r="E13" s="212"/>
      <c r="F13" s="213"/>
      <c r="G13" s="214">
        <v>0</v>
      </c>
      <c r="H13" s="215">
        <v>0</v>
      </c>
      <c r="I13" s="216">
        <v>0</v>
      </c>
      <c r="J13" s="215">
        <v>0</v>
      </c>
      <c r="K13" s="215">
        <v>0</v>
      </c>
      <c r="L13" s="215">
        <f t="shared" ref="L13" si="0">SUM(I13:K13)</f>
        <v>0</v>
      </c>
      <c r="M13" s="214">
        <f t="shared" ref="M13:M76" si="1">ROUND(G13*F13,2)</f>
        <v>0</v>
      </c>
      <c r="N13" s="215">
        <f t="shared" ref="N13" si="2">ROUND(I13*F13,2)</f>
        <v>0</v>
      </c>
      <c r="O13" s="215">
        <f t="shared" ref="O13" si="3">ROUND(J13*F13,2)</f>
        <v>0</v>
      </c>
      <c r="P13" s="215">
        <f t="shared" ref="P13" si="4">ROUND(K13*F13,2)</f>
        <v>0</v>
      </c>
      <c r="Q13" s="244">
        <f t="shared" ref="Q13" si="5">SUM(N13:P13)</f>
        <v>0</v>
      </c>
    </row>
    <row r="14" spans="1:17" s="56" customFormat="1" ht="37.35">
      <c r="A14" s="695">
        <v>1</v>
      </c>
      <c r="B14" s="696"/>
      <c r="C14" s="305" t="s">
        <v>218</v>
      </c>
      <c r="D14" s="697" t="s">
        <v>1612</v>
      </c>
      <c r="E14" s="385" t="s">
        <v>118</v>
      </c>
      <c r="F14" s="385">
        <v>3</v>
      </c>
      <c r="G14" s="698">
        <v>2.1</v>
      </c>
      <c r="H14" s="362">
        <v>10</v>
      </c>
      <c r="I14" s="363">
        <f t="shared" ref="I14" si="6">ROUND(G14*H14,2)</f>
        <v>21</v>
      </c>
      <c r="J14" s="363">
        <v>25.95</v>
      </c>
      <c r="K14" s="377">
        <f t="shared" ref="K14:K77" si="7">I14*0.15</f>
        <v>3.15</v>
      </c>
      <c r="L14" s="102">
        <f t="shared" ref="L14:L45" si="8">SUM(I14:K14)</f>
        <v>50.1</v>
      </c>
      <c r="M14" s="50">
        <f t="shared" si="1"/>
        <v>6.3</v>
      </c>
      <c r="N14" s="102">
        <f t="shared" ref="N14:N45" si="9">ROUND(I14*F14,2)</f>
        <v>63</v>
      </c>
      <c r="O14" s="102">
        <f t="shared" ref="O14:O45" si="10">ROUND(J14*F14,2)</f>
        <v>77.849999999999994</v>
      </c>
      <c r="P14" s="102">
        <f t="shared" ref="P14:P45" si="11">ROUND(K14*F14,2)</f>
        <v>9.4499999999999993</v>
      </c>
      <c r="Q14" s="103">
        <f t="shared" ref="Q14:Q45" si="12">SUM(N14:P14)</f>
        <v>150.29999999999998</v>
      </c>
    </row>
    <row r="15" spans="1:17" s="56" customFormat="1" ht="37.35">
      <c r="A15" s="303">
        <v>2</v>
      </c>
      <c r="B15" s="238"/>
      <c r="C15" s="224" t="s">
        <v>218</v>
      </c>
      <c r="D15" s="224" t="s">
        <v>219</v>
      </c>
      <c r="E15" s="219" t="s">
        <v>118</v>
      </c>
      <c r="F15" s="311">
        <v>2</v>
      </c>
      <c r="G15" s="240">
        <v>2.1</v>
      </c>
      <c r="H15" s="240">
        <v>10</v>
      </c>
      <c r="I15" s="694">
        <v>21</v>
      </c>
      <c r="J15" s="694">
        <v>33</v>
      </c>
      <c r="K15" s="377">
        <f t="shared" si="7"/>
        <v>3.15</v>
      </c>
      <c r="L15" s="102">
        <f t="shared" si="8"/>
        <v>57.15</v>
      </c>
      <c r="M15" s="50">
        <f t="shared" si="1"/>
        <v>4.2</v>
      </c>
      <c r="N15" s="102">
        <f t="shared" si="9"/>
        <v>42</v>
      </c>
      <c r="O15" s="102">
        <f t="shared" si="10"/>
        <v>66</v>
      </c>
      <c r="P15" s="102">
        <f t="shared" si="11"/>
        <v>6.3</v>
      </c>
      <c r="Q15" s="103">
        <f t="shared" si="12"/>
        <v>114.3</v>
      </c>
    </row>
    <row r="16" spans="1:17" s="56" customFormat="1" ht="37.35">
      <c r="A16" s="695">
        <v>3</v>
      </c>
      <c r="B16" s="238"/>
      <c r="C16" s="224" t="s">
        <v>218</v>
      </c>
      <c r="D16" s="224" t="s">
        <v>220</v>
      </c>
      <c r="E16" s="219" t="s">
        <v>118</v>
      </c>
      <c r="F16" s="311">
        <v>3</v>
      </c>
      <c r="G16" s="240">
        <v>2.1</v>
      </c>
      <c r="H16" s="240">
        <v>10</v>
      </c>
      <c r="I16" s="694">
        <v>21</v>
      </c>
      <c r="J16" s="694">
        <v>67.09</v>
      </c>
      <c r="K16" s="377">
        <f t="shared" si="7"/>
        <v>3.15</v>
      </c>
      <c r="L16" s="102">
        <f t="shared" si="8"/>
        <v>91.240000000000009</v>
      </c>
      <c r="M16" s="50">
        <f t="shared" si="1"/>
        <v>6.3</v>
      </c>
      <c r="N16" s="102">
        <f t="shared" si="9"/>
        <v>63</v>
      </c>
      <c r="O16" s="102">
        <f t="shared" si="10"/>
        <v>201.27</v>
      </c>
      <c r="P16" s="102">
        <f t="shared" si="11"/>
        <v>9.4499999999999993</v>
      </c>
      <c r="Q16" s="103">
        <f t="shared" si="12"/>
        <v>273.71999999999997</v>
      </c>
    </row>
    <row r="17" spans="1:17" s="56" customFormat="1" ht="37.35">
      <c r="A17" s="303">
        <v>4</v>
      </c>
      <c r="B17" s="238"/>
      <c r="C17" s="224" t="s">
        <v>218</v>
      </c>
      <c r="D17" s="224" t="s">
        <v>221</v>
      </c>
      <c r="E17" s="219" t="s">
        <v>118</v>
      </c>
      <c r="F17" s="311">
        <v>2</v>
      </c>
      <c r="G17" s="240">
        <v>2.1</v>
      </c>
      <c r="H17" s="240">
        <v>10</v>
      </c>
      <c r="I17" s="694">
        <v>21</v>
      </c>
      <c r="J17" s="694">
        <v>91.12</v>
      </c>
      <c r="K17" s="377">
        <f t="shared" si="7"/>
        <v>3.15</v>
      </c>
      <c r="L17" s="102">
        <f t="shared" si="8"/>
        <v>115.27000000000001</v>
      </c>
      <c r="M17" s="50">
        <f t="shared" si="1"/>
        <v>4.2</v>
      </c>
      <c r="N17" s="102">
        <f t="shared" si="9"/>
        <v>42</v>
      </c>
      <c r="O17" s="102">
        <f t="shared" si="10"/>
        <v>182.24</v>
      </c>
      <c r="P17" s="102">
        <f t="shared" si="11"/>
        <v>6.3</v>
      </c>
      <c r="Q17" s="103">
        <f t="shared" si="12"/>
        <v>230.54000000000002</v>
      </c>
    </row>
    <row r="18" spans="1:17" s="56" customFormat="1" ht="37.35">
      <c r="A18" s="695">
        <v>5</v>
      </c>
      <c r="B18" s="238"/>
      <c r="C18" s="305" t="s">
        <v>218</v>
      </c>
      <c r="D18" s="697" t="s">
        <v>1613</v>
      </c>
      <c r="E18" s="306" t="s">
        <v>118</v>
      </c>
      <c r="F18" s="307">
        <v>1</v>
      </c>
      <c r="G18" s="240">
        <v>2.1</v>
      </c>
      <c r="H18" s="240">
        <v>10</v>
      </c>
      <c r="I18" s="694">
        <v>21</v>
      </c>
      <c r="J18" s="694">
        <v>89.99</v>
      </c>
      <c r="K18" s="377">
        <f t="shared" si="7"/>
        <v>3.15</v>
      </c>
      <c r="L18" s="102">
        <f t="shared" si="8"/>
        <v>114.14</v>
      </c>
      <c r="M18" s="50">
        <f t="shared" si="1"/>
        <v>2.1</v>
      </c>
      <c r="N18" s="102">
        <f t="shared" si="9"/>
        <v>21</v>
      </c>
      <c r="O18" s="102">
        <f t="shared" si="10"/>
        <v>89.99</v>
      </c>
      <c r="P18" s="102">
        <f t="shared" si="11"/>
        <v>3.15</v>
      </c>
      <c r="Q18" s="103">
        <f t="shared" si="12"/>
        <v>114.14</v>
      </c>
    </row>
    <row r="19" spans="1:17" s="56" customFormat="1">
      <c r="A19" s="303">
        <v>6</v>
      </c>
      <c r="B19" s="238"/>
      <c r="C19" s="224" t="s">
        <v>222</v>
      </c>
      <c r="D19" s="224" t="s">
        <v>223</v>
      </c>
      <c r="E19" s="219" t="s">
        <v>118</v>
      </c>
      <c r="F19" s="311">
        <v>11</v>
      </c>
      <c r="G19" s="240">
        <v>0.6</v>
      </c>
      <c r="H19" s="240">
        <v>10</v>
      </c>
      <c r="I19" s="694">
        <v>6</v>
      </c>
      <c r="J19" s="694">
        <v>15.48</v>
      </c>
      <c r="K19" s="377">
        <f t="shared" si="7"/>
        <v>0.89999999999999991</v>
      </c>
      <c r="L19" s="102">
        <f t="shared" si="8"/>
        <v>22.38</v>
      </c>
      <c r="M19" s="50">
        <f t="shared" si="1"/>
        <v>6.6</v>
      </c>
      <c r="N19" s="102">
        <f t="shared" si="9"/>
        <v>66</v>
      </c>
      <c r="O19" s="102">
        <f t="shared" si="10"/>
        <v>170.28</v>
      </c>
      <c r="P19" s="102">
        <f t="shared" si="11"/>
        <v>9.9</v>
      </c>
      <c r="Q19" s="103">
        <f t="shared" si="12"/>
        <v>246.18</v>
      </c>
    </row>
    <row r="20" spans="1:17" s="56" customFormat="1">
      <c r="A20" s="695">
        <v>7</v>
      </c>
      <c r="B20" s="238"/>
      <c r="C20" s="224" t="s">
        <v>224</v>
      </c>
      <c r="D20" s="224" t="s">
        <v>223</v>
      </c>
      <c r="E20" s="219" t="s">
        <v>118</v>
      </c>
      <c r="F20" s="311">
        <v>11</v>
      </c>
      <c r="G20" s="240">
        <v>0.6</v>
      </c>
      <c r="H20" s="240">
        <v>10</v>
      </c>
      <c r="I20" s="694">
        <v>6</v>
      </c>
      <c r="J20" s="694">
        <v>11.520661157024794</v>
      </c>
      <c r="K20" s="377">
        <f t="shared" si="7"/>
        <v>0.89999999999999991</v>
      </c>
      <c r="L20" s="102">
        <f t="shared" si="8"/>
        <v>18.420661157024792</v>
      </c>
      <c r="M20" s="50">
        <f t="shared" si="1"/>
        <v>6.6</v>
      </c>
      <c r="N20" s="102">
        <f t="shared" si="9"/>
        <v>66</v>
      </c>
      <c r="O20" s="102">
        <f t="shared" si="10"/>
        <v>126.73</v>
      </c>
      <c r="P20" s="102">
        <f t="shared" si="11"/>
        <v>9.9</v>
      </c>
      <c r="Q20" s="103">
        <f t="shared" si="12"/>
        <v>202.63000000000002</v>
      </c>
    </row>
    <row r="21" spans="1:17" s="56" customFormat="1">
      <c r="A21" s="303">
        <v>8</v>
      </c>
      <c r="B21" s="238"/>
      <c r="C21" s="224" t="s">
        <v>225</v>
      </c>
      <c r="D21" s="224" t="s">
        <v>223</v>
      </c>
      <c r="E21" s="219" t="s">
        <v>118</v>
      </c>
      <c r="F21" s="311">
        <v>11</v>
      </c>
      <c r="G21" s="240">
        <v>0.65</v>
      </c>
      <c r="H21" s="240">
        <v>10</v>
      </c>
      <c r="I21" s="694">
        <v>6.5</v>
      </c>
      <c r="J21" s="694">
        <v>2.2799999999999998</v>
      </c>
      <c r="K21" s="377">
        <f t="shared" si="7"/>
        <v>0.97499999999999998</v>
      </c>
      <c r="L21" s="102">
        <f t="shared" si="8"/>
        <v>9.754999999999999</v>
      </c>
      <c r="M21" s="50">
        <f t="shared" si="1"/>
        <v>7.15</v>
      </c>
      <c r="N21" s="102">
        <f t="shared" si="9"/>
        <v>71.5</v>
      </c>
      <c r="O21" s="102">
        <f t="shared" si="10"/>
        <v>25.08</v>
      </c>
      <c r="P21" s="102">
        <f t="shared" si="11"/>
        <v>10.73</v>
      </c>
      <c r="Q21" s="103">
        <f t="shared" si="12"/>
        <v>107.31</v>
      </c>
    </row>
    <row r="22" spans="1:17" s="56" customFormat="1">
      <c r="A22" s="695">
        <v>9</v>
      </c>
      <c r="B22" s="238"/>
      <c r="C22" s="305" t="s">
        <v>226</v>
      </c>
      <c r="D22" s="305" t="s">
        <v>1614</v>
      </c>
      <c r="E22" s="306" t="s">
        <v>136</v>
      </c>
      <c r="F22" s="307">
        <v>2</v>
      </c>
      <c r="G22" s="240">
        <v>2.1</v>
      </c>
      <c r="H22" s="240">
        <v>10</v>
      </c>
      <c r="I22" s="694">
        <v>21</v>
      </c>
      <c r="J22" s="699">
        <v>58.67</v>
      </c>
      <c r="K22" s="377">
        <f t="shared" si="7"/>
        <v>3.15</v>
      </c>
      <c r="L22" s="102">
        <f t="shared" si="8"/>
        <v>82.820000000000007</v>
      </c>
      <c r="M22" s="50">
        <f t="shared" si="1"/>
        <v>4.2</v>
      </c>
      <c r="N22" s="102">
        <f t="shared" si="9"/>
        <v>42</v>
      </c>
      <c r="O22" s="102">
        <f t="shared" si="10"/>
        <v>117.34</v>
      </c>
      <c r="P22" s="102">
        <f t="shared" si="11"/>
        <v>6.3</v>
      </c>
      <c r="Q22" s="103">
        <f t="shared" si="12"/>
        <v>165.64000000000001</v>
      </c>
    </row>
    <row r="23" spans="1:17" s="56" customFormat="1">
      <c r="A23" s="303">
        <v>10</v>
      </c>
      <c r="B23" s="238"/>
      <c r="C23" s="305" t="s">
        <v>227</v>
      </c>
      <c r="D23" s="305" t="s">
        <v>1615</v>
      </c>
      <c r="E23" s="306" t="s">
        <v>136</v>
      </c>
      <c r="F23" s="307">
        <v>6</v>
      </c>
      <c r="G23" s="240">
        <v>2.1</v>
      </c>
      <c r="H23" s="240">
        <v>10</v>
      </c>
      <c r="I23" s="694">
        <v>21</v>
      </c>
      <c r="J23" s="699">
        <v>67.540000000000006</v>
      </c>
      <c r="K23" s="377">
        <f t="shared" si="7"/>
        <v>3.15</v>
      </c>
      <c r="L23" s="102">
        <f t="shared" si="8"/>
        <v>91.690000000000012</v>
      </c>
      <c r="M23" s="50">
        <f t="shared" si="1"/>
        <v>12.6</v>
      </c>
      <c r="N23" s="102">
        <f t="shared" si="9"/>
        <v>126</v>
      </c>
      <c r="O23" s="102">
        <f t="shared" si="10"/>
        <v>405.24</v>
      </c>
      <c r="P23" s="102">
        <f t="shared" si="11"/>
        <v>18.899999999999999</v>
      </c>
      <c r="Q23" s="103">
        <f t="shared" si="12"/>
        <v>550.14</v>
      </c>
    </row>
    <row r="24" spans="1:17" s="56" customFormat="1">
      <c r="A24" s="695">
        <v>11</v>
      </c>
      <c r="B24" s="238"/>
      <c r="C24" s="224" t="s">
        <v>227</v>
      </c>
      <c r="D24" s="224" t="s">
        <v>228</v>
      </c>
      <c r="E24" s="219" t="s">
        <v>136</v>
      </c>
      <c r="F24" s="311">
        <v>4</v>
      </c>
      <c r="G24" s="240">
        <v>2.1</v>
      </c>
      <c r="H24" s="240">
        <v>10</v>
      </c>
      <c r="I24" s="694">
        <v>21</v>
      </c>
      <c r="J24" s="694">
        <v>72.25</v>
      </c>
      <c r="K24" s="377">
        <f t="shared" si="7"/>
        <v>3.15</v>
      </c>
      <c r="L24" s="102">
        <f t="shared" si="8"/>
        <v>96.4</v>
      </c>
      <c r="M24" s="50">
        <f t="shared" si="1"/>
        <v>8.4</v>
      </c>
      <c r="N24" s="102">
        <f t="shared" si="9"/>
        <v>84</v>
      </c>
      <c r="O24" s="102">
        <f t="shared" si="10"/>
        <v>289</v>
      </c>
      <c r="P24" s="102">
        <f t="shared" si="11"/>
        <v>12.6</v>
      </c>
      <c r="Q24" s="103">
        <f t="shared" si="12"/>
        <v>385.6</v>
      </c>
    </row>
    <row r="25" spans="1:17" s="56" customFormat="1" ht="49.75">
      <c r="A25" s="303">
        <v>12</v>
      </c>
      <c r="B25" s="238"/>
      <c r="C25" s="224" t="s">
        <v>229</v>
      </c>
      <c r="D25" s="224" t="s">
        <v>230</v>
      </c>
      <c r="E25" s="219" t="s">
        <v>136</v>
      </c>
      <c r="F25" s="311">
        <v>54</v>
      </c>
      <c r="G25" s="240">
        <v>2.2999999999999998</v>
      </c>
      <c r="H25" s="240">
        <v>10</v>
      </c>
      <c r="I25" s="694">
        <v>23</v>
      </c>
      <c r="J25" s="694">
        <v>230</v>
      </c>
      <c r="K25" s="377">
        <f t="shared" si="7"/>
        <v>3.4499999999999997</v>
      </c>
      <c r="L25" s="102">
        <f t="shared" si="8"/>
        <v>256.45</v>
      </c>
      <c r="M25" s="50">
        <f t="shared" si="1"/>
        <v>124.2</v>
      </c>
      <c r="N25" s="102">
        <f t="shared" si="9"/>
        <v>1242</v>
      </c>
      <c r="O25" s="102">
        <f t="shared" si="10"/>
        <v>12420</v>
      </c>
      <c r="P25" s="102">
        <f t="shared" si="11"/>
        <v>186.3</v>
      </c>
      <c r="Q25" s="103">
        <f t="shared" si="12"/>
        <v>13848.3</v>
      </c>
    </row>
    <row r="26" spans="1:17" s="56" customFormat="1" ht="49.75">
      <c r="A26" s="695">
        <v>13</v>
      </c>
      <c r="B26" s="238"/>
      <c r="C26" s="224" t="s">
        <v>229</v>
      </c>
      <c r="D26" s="224" t="s">
        <v>231</v>
      </c>
      <c r="E26" s="219" t="s">
        <v>136</v>
      </c>
      <c r="F26" s="311">
        <v>15</v>
      </c>
      <c r="G26" s="240">
        <v>1.9</v>
      </c>
      <c r="H26" s="240">
        <v>10</v>
      </c>
      <c r="I26" s="694">
        <v>19</v>
      </c>
      <c r="J26" s="694">
        <v>190</v>
      </c>
      <c r="K26" s="377">
        <f t="shared" si="7"/>
        <v>2.85</v>
      </c>
      <c r="L26" s="102">
        <f t="shared" si="8"/>
        <v>211.85</v>
      </c>
      <c r="M26" s="50">
        <f t="shared" si="1"/>
        <v>28.5</v>
      </c>
      <c r="N26" s="102">
        <f t="shared" si="9"/>
        <v>285</v>
      </c>
      <c r="O26" s="102">
        <f t="shared" si="10"/>
        <v>2850</v>
      </c>
      <c r="P26" s="102">
        <f t="shared" si="11"/>
        <v>42.75</v>
      </c>
      <c r="Q26" s="103">
        <f t="shared" si="12"/>
        <v>3177.75</v>
      </c>
    </row>
    <row r="27" spans="1:17" s="56" customFormat="1" ht="49.75">
      <c r="A27" s="303">
        <v>14</v>
      </c>
      <c r="B27" s="238"/>
      <c r="C27" s="224" t="s">
        <v>229</v>
      </c>
      <c r="D27" s="224" t="s">
        <v>232</v>
      </c>
      <c r="E27" s="219" t="s">
        <v>136</v>
      </c>
      <c r="F27" s="311">
        <v>8</v>
      </c>
      <c r="G27" s="240">
        <v>1.7240000000000002</v>
      </c>
      <c r="H27" s="240">
        <v>10</v>
      </c>
      <c r="I27" s="694">
        <v>17.240000000000002</v>
      </c>
      <c r="J27" s="694">
        <v>172.4</v>
      </c>
      <c r="K27" s="377">
        <f t="shared" si="7"/>
        <v>2.5860000000000003</v>
      </c>
      <c r="L27" s="102">
        <f t="shared" si="8"/>
        <v>192.22600000000003</v>
      </c>
      <c r="M27" s="50">
        <f t="shared" si="1"/>
        <v>13.79</v>
      </c>
      <c r="N27" s="102">
        <f t="shared" si="9"/>
        <v>137.91999999999999</v>
      </c>
      <c r="O27" s="102">
        <f t="shared" si="10"/>
        <v>1379.2</v>
      </c>
      <c r="P27" s="102">
        <f t="shared" si="11"/>
        <v>20.69</v>
      </c>
      <c r="Q27" s="103">
        <f t="shared" si="12"/>
        <v>1537.8100000000002</v>
      </c>
    </row>
    <row r="28" spans="1:17" s="56" customFormat="1" ht="24.9">
      <c r="A28" s="695">
        <v>15</v>
      </c>
      <c r="B28" s="238"/>
      <c r="C28" s="224" t="s">
        <v>233</v>
      </c>
      <c r="D28" s="224"/>
      <c r="E28" s="219" t="s">
        <v>136</v>
      </c>
      <c r="F28" s="311">
        <v>1</v>
      </c>
      <c r="G28" s="240">
        <v>0.30500000000000005</v>
      </c>
      <c r="H28" s="240">
        <v>10</v>
      </c>
      <c r="I28" s="694">
        <v>3.0500000000000003</v>
      </c>
      <c r="J28" s="694">
        <v>30.5</v>
      </c>
      <c r="K28" s="377">
        <f t="shared" si="7"/>
        <v>0.45750000000000002</v>
      </c>
      <c r="L28" s="102">
        <f t="shared" si="8"/>
        <v>34.0075</v>
      </c>
      <c r="M28" s="50">
        <f t="shared" si="1"/>
        <v>0.31</v>
      </c>
      <c r="N28" s="102">
        <f t="shared" si="9"/>
        <v>3.05</v>
      </c>
      <c r="O28" s="102">
        <f t="shared" si="10"/>
        <v>30.5</v>
      </c>
      <c r="P28" s="102">
        <f t="shared" si="11"/>
        <v>0.46</v>
      </c>
      <c r="Q28" s="103">
        <f t="shared" si="12"/>
        <v>34.01</v>
      </c>
    </row>
    <row r="29" spans="1:17" s="56" customFormat="1" ht="24.9">
      <c r="A29" s="303">
        <v>16</v>
      </c>
      <c r="B29" s="238"/>
      <c r="C29" s="224" t="s">
        <v>234</v>
      </c>
      <c r="D29" s="224"/>
      <c r="E29" s="219" t="s">
        <v>136</v>
      </c>
      <c r="F29" s="311">
        <v>1</v>
      </c>
      <c r="G29" s="240">
        <v>0.32</v>
      </c>
      <c r="H29" s="240">
        <v>10</v>
      </c>
      <c r="I29" s="694">
        <v>3.2</v>
      </c>
      <c r="J29" s="694">
        <v>32</v>
      </c>
      <c r="K29" s="377">
        <f t="shared" si="7"/>
        <v>0.48</v>
      </c>
      <c r="L29" s="102">
        <f t="shared" si="8"/>
        <v>35.68</v>
      </c>
      <c r="M29" s="50">
        <f t="shared" si="1"/>
        <v>0.32</v>
      </c>
      <c r="N29" s="102">
        <f t="shared" si="9"/>
        <v>3.2</v>
      </c>
      <c r="O29" s="102">
        <f t="shared" si="10"/>
        <v>32</v>
      </c>
      <c r="P29" s="102">
        <f t="shared" si="11"/>
        <v>0.48</v>
      </c>
      <c r="Q29" s="103">
        <f t="shared" si="12"/>
        <v>35.68</v>
      </c>
    </row>
    <row r="30" spans="1:17" s="56" customFormat="1">
      <c r="A30" s="695">
        <v>17</v>
      </c>
      <c r="B30" s="238"/>
      <c r="C30" s="224" t="s">
        <v>235</v>
      </c>
      <c r="D30" s="224"/>
      <c r="E30" s="219" t="s">
        <v>136</v>
      </c>
      <c r="F30" s="311">
        <v>1</v>
      </c>
      <c r="G30" s="240">
        <v>0.23000000000000004</v>
      </c>
      <c r="H30" s="240">
        <v>10</v>
      </c>
      <c r="I30" s="694">
        <v>2.3000000000000003</v>
      </c>
      <c r="J30" s="694">
        <v>23</v>
      </c>
      <c r="K30" s="377">
        <f t="shared" si="7"/>
        <v>0.34500000000000003</v>
      </c>
      <c r="L30" s="102">
        <f t="shared" si="8"/>
        <v>25.645</v>
      </c>
      <c r="M30" s="50">
        <f t="shared" si="1"/>
        <v>0.23</v>
      </c>
      <c r="N30" s="102">
        <f t="shared" si="9"/>
        <v>2.2999999999999998</v>
      </c>
      <c r="O30" s="102">
        <f t="shared" si="10"/>
        <v>23</v>
      </c>
      <c r="P30" s="102">
        <f t="shared" si="11"/>
        <v>0.35</v>
      </c>
      <c r="Q30" s="103">
        <f t="shared" si="12"/>
        <v>25.650000000000002</v>
      </c>
    </row>
    <row r="31" spans="1:17" s="56" customFormat="1">
      <c r="A31" s="303">
        <v>18</v>
      </c>
      <c r="B31" s="238"/>
      <c r="C31" s="224" t="s">
        <v>236</v>
      </c>
      <c r="D31" s="224"/>
      <c r="E31" s="219" t="s">
        <v>136</v>
      </c>
      <c r="F31" s="311">
        <v>1</v>
      </c>
      <c r="G31" s="240">
        <v>0.41200000000000003</v>
      </c>
      <c r="H31" s="240">
        <v>10</v>
      </c>
      <c r="I31" s="694">
        <v>4.12</v>
      </c>
      <c r="J31" s="694">
        <v>41.2</v>
      </c>
      <c r="K31" s="377">
        <f t="shared" si="7"/>
        <v>0.61799999999999999</v>
      </c>
      <c r="L31" s="102">
        <f t="shared" si="8"/>
        <v>45.938000000000002</v>
      </c>
      <c r="M31" s="50">
        <f t="shared" si="1"/>
        <v>0.41</v>
      </c>
      <c r="N31" s="102">
        <f t="shared" si="9"/>
        <v>4.12</v>
      </c>
      <c r="O31" s="102">
        <f t="shared" si="10"/>
        <v>41.2</v>
      </c>
      <c r="P31" s="102">
        <f t="shared" si="11"/>
        <v>0.62</v>
      </c>
      <c r="Q31" s="103">
        <f t="shared" si="12"/>
        <v>45.94</v>
      </c>
    </row>
    <row r="32" spans="1:17" s="56" customFormat="1" ht="24.9">
      <c r="A32" s="695">
        <v>19</v>
      </c>
      <c r="B32" s="238"/>
      <c r="C32" s="224" t="s">
        <v>237</v>
      </c>
      <c r="D32" s="224" t="s">
        <v>238</v>
      </c>
      <c r="E32" s="219" t="s">
        <v>136</v>
      </c>
      <c r="F32" s="311">
        <v>20</v>
      </c>
      <c r="G32" s="240">
        <v>1.6</v>
      </c>
      <c r="H32" s="240">
        <v>10</v>
      </c>
      <c r="I32" s="694">
        <v>16</v>
      </c>
      <c r="J32" s="694">
        <v>160</v>
      </c>
      <c r="K32" s="377">
        <f t="shared" si="7"/>
        <v>2.4</v>
      </c>
      <c r="L32" s="102">
        <f t="shared" si="8"/>
        <v>178.4</v>
      </c>
      <c r="M32" s="50">
        <f t="shared" si="1"/>
        <v>32</v>
      </c>
      <c r="N32" s="102">
        <f t="shared" si="9"/>
        <v>320</v>
      </c>
      <c r="O32" s="102">
        <f t="shared" si="10"/>
        <v>3200</v>
      </c>
      <c r="P32" s="102">
        <f t="shared" si="11"/>
        <v>48</v>
      </c>
      <c r="Q32" s="103">
        <f t="shared" si="12"/>
        <v>3568</v>
      </c>
    </row>
    <row r="33" spans="1:17" s="56" customFormat="1" ht="24.9">
      <c r="A33" s="303">
        <v>20</v>
      </c>
      <c r="B33" s="238"/>
      <c r="C33" s="224" t="s">
        <v>239</v>
      </c>
      <c r="D33" s="224"/>
      <c r="E33" s="219" t="s">
        <v>136</v>
      </c>
      <c r="F33" s="311">
        <v>20</v>
      </c>
      <c r="G33" s="240">
        <v>0.3</v>
      </c>
      <c r="H33" s="240">
        <v>10</v>
      </c>
      <c r="I33" s="694">
        <v>3</v>
      </c>
      <c r="J33" s="694">
        <v>30</v>
      </c>
      <c r="K33" s="377">
        <f t="shared" si="7"/>
        <v>0.44999999999999996</v>
      </c>
      <c r="L33" s="102">
        <f t="shared" si="8"/>
        <v>33.450000000000003</v>
      </c>
      <c r="M33" s="50">
        <f t="shared" si="1"/>
        <v>6</v>
      </c>
      <c r="N33" s="102">
        <f t="shared" si="9"/>
        <v>60</v>
      </c>
      <c r="O33" s="102">
        <f t="shared" si="10"/>
        <v>600</v>
      </c>
      <c r="P33" s="102">
        <f t="shared" si="11"/>
        <v>9</v>
      </c>
      <c r="Q33" s="103">
        <f t="shared" si="12"/>
        <v>669</v>
      </c>
    </row>
    <row r="34" spans="1:17" s="56" customFormat="1" ht="24.9">
      <c r="A34" s="695">
        <v>21</v>
      </c>
      <c r="B34" s="238"/>
      <c r="C34" s="224" t="s">
        <v>240</v>
      </c>
      <c r="D34" s="224" t="s">
        <v>241</v>
      </c>
      <c r="E34" s="219" t="s">
        <v>136</v>
      </c>
      <c r="F34" s="311">
        <v>20</v>
      </c>
      <c r="G34" s="240">
        <v>0.80999999999999994</v>
      </c>
      <c r="H34" s="240">
        <v>10</v>
      </c>
      <c r="I34" s="694">
        <v>8.1</v>
      </c>
      <c r="J34" s="694">
        <v>81</v>
      </c>
      <c r="K34" s="377">
        <f t="shared" si="7"/>
        <v>1.2149999999999999</v>
      </c>
      <c r="L34" s="102">
        <f t="shared" si="8"/>
        <v>90.314999999999998</v>
      </c>
      <c r="M34" s="50">
        <f t="shared" si="1"/>
        <v>16.2</v>
      </c>
      <c r="N34" s="102">
        <f t="shared" si="9"/>
        <v>162</v>
      </c>
      <c r="O34" s="102">
        <f t="shared" si="10"/>
        <v>1620</v>
      </c>
      <c r="P34" s="102">
        <f t="shared" si="11"/>
        <v>24.3</v>
      </c>
      <c r="Q34" s="103">
        <f t="shared" si="12"/>
        <v>1806.3</v>
      </c>
    </row>
    <row r="35" spans="1:17" s="56" customFormat="1" ht="24.9">
      <c r="A35" s="303">
        <v>22</v>
      </c>
      <c r="B35" s="238"/>
      <c r="C35" s="224" t="s">
        <v>242</v>
      </c>
      <c r="D35" s="224"/>
      <c r="E35" s="219" t="s">
        <v>136</v>
      </c>
      <c r="F35" s="311">
        <v>1</v>
      </c>
      <c r="G35" s="240">
        <v>0.27500000000000002</v>
      </c>
      <c r="H35" s="240">
        <v>10</v>
      </c>
      <c r="I35" s="694">
        <v>2.75</v>
      </c>
      <c r="J35" s="694">
        <v>27.5</v>
      </c>
      <c r="K35" s="377">
        <f t="shared" si="7"/>
        <v>0.41249999999999998</v>
      </c>
      <c r="L35" s="102">
        <f t="shared" si="8"/>
        <v>30.662500000000001</v>
      </c>
      <c r="M35" s="50">
        <f t="shared" si="1"/>
        <v>0.28000000000000003</v>
      </c>
      <c r="N35" s="102">
        <f t="shared" si="9"/>
        <v>2.75</v>
      </c>
      <c r="O35" s="102">
        <f t="shared" si="10"/>
        <v>27.5</v>
      </c>
      <c r="P35" s="102">
        <f t="shared" si="11"/>
        <v>0.41</v>
      </c>
      <c r="Q35" s="103">
        <f t="shared" si="12"/>
        <v>30.66</v>
      </c>
    </row>
    <row r="36" spans="1:17" s="56" customFormat="1" ht="24.9">
      <c r="A36" s="695">
        <v>23</v>
      </c>
      <c r="B36" s="238"/>
      <c r="C36" s="700" t="s">
        <v>1616</v>
      </c>
      <c r="D36" s="701" t="s">
        <v>1617</v>
      </c>
      <c r="E36" s="702" t="s">
        <v>136</v>
      </c>
      <c r="F36" s="703">
        <v>3</v>
      </c>
      <c r="G36" s="240">
        <v>2.2000000000000002</v>
      </c>
      <c r="H36" s="240">
        <v>10</v>
      </c>
      <c r="I36" s="363">
        <f t="shared" ref="I36:I38" si="13">ROUND(G36*H36,2)</f>
        <v>22</v>
      </c>
      <c r="J36" s="704">
        <v>1220</v>
      </c>
      <c r="K36" s="377">
        <f t="shared" si="7"/>
        <v>3.3</v>
      </c>
      <c r="L36" s="102">
        <f t="shared" si="8"/>
        <v>1245.3</v>
      </c>
      <c r="M36" s="50">
        <f t="shared" si="1"/>
        <v>6.6</v>
      </c>
      <c r="N36" s="102">
        <f t="shared" si="9"/>
        <v>66</v>
      </c>
      <c r="O36" s="102">
        <f t="shared" si="10"/>
        <v>3660</v>
      </c>
      <c r="P36" s="102">
        <f t="shared" si="11"/>
        <v>9.9</v>
      </c>
      <c r="Q36" s="103">
        <f t="shared" si="12"/>
        <v>3735.9</v>
      </c>
    </row>
    <row r="37" spans="1:17" s="56" customFormat="1" ht="37.35">
      <c r="A37" s="303">
        <v>24</v>
      </c>
      <c r="B37" s="238"/>
      <c r="C37" s="700" t="s">
        <v>1618</v>
      </c>
      <c r="D37" s="701" t="s">
        <v>1619</v>
      </c>
      <c r="E37" s="702" t="s">
        <v>136</v>
      </c>
      <c r="F37" s="703">
        <v>3</v>
      </c>
      <c r="G37" s="240">
        <v>2.2000000000000002</v>
      </c>
      <c r="H37" s="240">
        <v>10</v>
      </c>
      <c r="I37" s="363">
        <f t="shared" si="13"/>
        <v>22</v>
      </c>
      <c r="J37" s="704">
        <v>820</v>
      </c>
      <c r="K37" s="377">
        <f t="shared" si="7"/>
        <v>3.3</v>
      </c>
      <c r="L37" s="102">
        <f t="shared" si="8"/>
        <v>845.3</v>
      </c>
      <c r="M37" s="50">
        <f t="shared" si="1"/>
        <v>6.6</v>
      </c>
      <c r="N37" s="102">
        <f t="shared" si="9"/>
        <v>66</v>
      </c>
      <c r="O37" s="102">
        <f t="shared" si="10"/>
        <v>2460</v>
      </c>
      <c r="P37" s="102">
        <f t="shared" si="11"/>
        <v>9.9</v>
      </c>
      <c r="Q37" s="103">
        <f t="shared" si="12"/>
        <v>2535.9</v>
      </c>
    </row>
    <row r="38" spans="1:17" s="56" customFormat="1">
      <c r="A38" s="695">
        <v>25</v>
      </c>
      <c r="B38" s="238"/>
      <c r="C38" s="705" t="s">
        <v>243</v>
      </c>
      <c r="D38" s="706" t="s">
        <v>1620</v>
      </c>
      <c r="E38" s="707" t="s">
        <v>118</v>
      </c>
      <c r="F38" s="708">
        <v>1</v>
      </c>
      <c r="G38" s="698">
        <v>6.5</v>
      </c>
      <c r="H38" s="709">
        <v>10</v>
      </c>
      <c r="I38" s="363">
        <f t="shared" si="13"/>
        <v>65</v>
      </c>
      <c r="J38" s="363">
        <v>165.42</v>
      </c>
      <c r="K38" s="377">
        <f t="shared" si="7"/>
        <v>9.75</v>
      </c>
      <c r="L38" s="102">
        <f t="shared" si="8"/>
        <v>240.17</v>
      </c>
      <c r="M38" s="50">
        <f t="shared" si="1"/>
        <v>6.5</v>
      </c>
      <c r="N38" s="102">
        <f t="shared" si="9"/>
        <v>65</v>
      </c>
      <c r="O38" s="102">
        <f t="shared" si="10"/>
        <v>165.42</v>
      </c>
      <c r="P38" s="102">
        <f t="shared" si="11"/>
        <v>9.75</v>
      </c>
      <c r="Q38" s="103">
        <f t="shared" si="12"/>
        <v>240.17</v>
      </c>
    </row>
    <row r="39" spans="1:17" s="56" customFormat="1">
      <c r="A39" s="303">
        <v>26</v>
      </c>
      <c r="B39" s="238"/>
      <c r="C39" s="224" t="s">
        <v>243</v>
      </c>
      <c r="D39" s="224" t="s">
        <v>244</v>
      </c>
      <c r="E39" s="219" t="s">
        <v>118</v>
      </c>
      <c r="F39" s="311">
        <v>1</v>
      </c>
      <c r="G39" s="240">
        <v>2.8</v>
      </c>
      <c r="H39" s="240">
        <v>10</v>
      </c>
      <c r="I39" s="694">
        <v>24</v>
      </c>
      <c r="J39" s="694">
        <v>196.6</v>
      </c>
      <c r="K39" s="377">
        <f t="shared" si="7"/>
        <v>3.5999999999999996</v>
      </c>
      <c r="L39" s="102">
        <f t="shared" si="8"/>
        <v>224.2</v>
      </c>
      <c r="M39" s="50">
        <f t="shared" si="1"/>
        <v>2.8</v>
      </c>
      <c r="N39" s="102">
        <f t="shared" si="9"/>
        <v>24</v>
      </c>
      <c r="O39" s="102">
        <f t="shared" si="10"/>
        <v>196.6</v>
      </c>
      <c r="P39" s="102">
        <f t="shared" si="11"/>
        <v>3.6</v>
      </c>
      <c r="Q39" s="103">
        <f t="shared" si="12"/>
        <v>224.2</v>
      </c>
    </row>
    <row r="40" spans="1:17" s="56" customFormat="1">
      <c r="A40" s="695">
        <v>27</v>
      </c>
      <c r="B40" s="238"/>
      <c r="C40" s="224" t="s">
        <v>243</v>
      </c>
      <c r="D40" s="224" t="s">
        <v>245</v>
      </c>
      <c r="E40" s="219" t="s">
        <v>118</v>
      </c>
      <c r="F40" s="311">
        <v>2</v>
      </c>
      <c r="G40" s="240">
        <v>2.8</v>
      </c>
      <c r="H40" s="240">
        <v>10</v>
      </c>
      <c r="I40" s="694">
        <v>24</v>
      </c>
      <c r="J40" s="694">
        <v>495.81</v>
      </c>
      <c r="K40" s="377">
        <f t="shared" si="7"/>
        <v>3.5999999999999996</v>
      </c>
      <c r="L40" s="102">
        <f t="shared" si="8"/>
        <v>523.41</v>
      </c>
      <c r="M40" s="50">
        <f t="shared" si="1"/>
        <v>5.6</v>
      </c>
      <c r="N40" s="102">
        <f t="shared" si="9"/>
        <v>48</v>
      </c>
      <c r="O40" s="102">
        <f t="shared" si="10"/>
        <v>991.62</v>
      </c>
      <c r="P40" s="102">
        <f t="shared" si="11"/>
        <v>7.2</v>
      </c>
      <c r="Q40" s="103">
        <f t="shared" si="12"/>
        <v>1046.82</v>
      </c>
    </row>
    <row r="41" spans="1:17" s="56" customFormat="1">
      <c r="A41" s="303">
        <v>28</v>
      </c>
      <c r="B41" s="238"/>
      <c r="C41" s="705" t="s">
        <v>246</v>
      </c>
      <c r="D41" s="706" t="s">
        <v>1621</v>
      </c>
      <c r="E41" s="707" t="s">
        <v>136</v>
      </c>
      <c r="F41" s="708">
        <v>1</v>
      </c>
      <c r="G41" s="240">
        <v>0.7</v>
      </c>
      <c r="H41" s="240">
        <v>10</v>
      </c>
      <c r="I41" s="694">
        <v>21</v>
      </c>
      <c r="J41" s="694">
        <v>163.52000000000001</v>
      </c>
      <c r="K41" s="377">
        <f t="shared" si="7"/>
        <v>3.15</v>
      </c>
      <c r="L41" s="102">
        <f t="shared" si="8"/>
        <v>187.67000000000002</v>
      </c>
      <c r="M41" s="50">
        <f t="shared" si="1"/>
        <v>0.7</v>
      </c>
      <c r="N41" s="102">
        <f t="shared" si="9"/>
        <v>21</v>
      </c>
      <c r="O41" s="102">
        <f t="shared" si="10"/>
        <v>163.52000000000001</v>
      </c>
      <c r="P41" s="102">
        <f t="shared" si="11"/>
        <v>3.15</v>
      </c>
      <c r="Q41" s="103">
        <f t="shared" si="12"/>
        <v>187.67000000000002</v>
      </c>
    </row>
    <row r="42" spans="1:17" s="56" customFormat="1">
      <c r="A42" s="695">
        <v>29</v>
      </c>
      <c r="B42" s="238"/>
      <c r="C42" s="224" t="s">
        <v>246</v>
      </c>
      <c r="D42" s="224" t="s">
        <v>247</v>
      </c>
      <c r="E42" s="219" t="s">
        <v>136</v>
      </c>
      <c r="F42" s="311">
        <v>1</v>
      </c>
      <c r="G42" s="240">
        <v>0.7</v>
      </c>
      <c r="H42" s="240">
        <v>10</v>
      </c>
      <c r="I42" s="694">
        <v>21</v>
      </c>
      <c r="J42" s="694">
        <v>196.6</v>
      </c>
      <c r="K42" s="377">
        <f t="shared" si="7"/>
        <v>3.15</v>
      </c>
      <c r="L42" s="102">
        <f t="shared" si="8"/>
        <v>220.75</v>
      </c>
      <c r="M42" s="50">
        <f t="shared" si="1"/>
        <v>0.7</v>
      </c>
      <c r="N42" s="102">
        <f t="shared" si="9"/>
        <v>21</v>
      </c>
      <c r="O42" s="102">
        <f t="shared" si="10"/>
        <v>196.6</v>
      </c>
      <c r="P42" s="102">
        <f t="shared" si="11"/>
        <v>3.15</v>
      </c>
      <c r="Q42" s="103">
        <f t="shared" si="12"/>
        <v>220.75</v>
      </c>
    </row>
    <row r="43" spans="1:17" s="56" customFormat="1">
      <c r="A43" s="303">
        <v>30</v>
      </c>
      <c r="B43" s="238"/>
      <c r="C43" s="224" t="s">
        <v>246</v>
      </c>
      <c r="D43" s="224" t="s">
        <v>248</v>
      </c>
      <c r="E43" s="219" t="s">
        <v>136</v>
      </c>
      <c r="F43" s="311">
        <v>2</v>
      </c>
      <c r="G43" s="240">
        <v>0.7</v>
      </c>
      <c r="H43" s="240">
        <v>10</v>
      </c>
      <c r="I43" s="694">
        <v>21</v>
      </c>
      <c r="J43" s="694">
        <v>256.8</v>
      </c>
      <c r="K43" s="377">
        <f t="shared" si="7"/>
        <v>3.15</v>
      </c>
      <c r="L43" s="102">
        <f t="shared" si="8"/>
        <v>280.95</v>
      </c>
      <c r="M43" s="50">
        <f t="shared" si="1"/>
        <v>1.4</v>
      </c>
      <c r="N43" s="102">
        <f t="shared" si="9"/>
        <v>42</v>
      </c>
      <c r="O43" s="102">
        <f t="shared" si="10"/>
        <v>513.6</v>
      </c>
      <c r="P43" s="102">
        <f t="shared" si="11"/>
        <v>6.3</v>
      </c>
      <c r="Q43" s="103">
        <f t="shared" si="12"/>
        <v>561.9</v>
      </c>
    </row>
    <row r="44" spans="1:17" s="56" customFormat="1" ht="24.9">
      <c r="A44" s="695">
        <v>31</v>
      </c>
      <c r="B44" s="238"/>
      <c r="C44" s="224" t="s">
        <v>249</v>
      </c>
      <c r="D44" s="224" t="s">
        <v>250</v>
      </c>
      <c r="E44" s="219" t="s">
        <v>251</v>
      </c>
      <c r="F44" s="311">
        <v>450</v>
      </c>
      <c r="G44" s="240">
        <v>0.66</v>
      </c>
      <c r="H44" s="240">
        <v>10</v>
      </c>
      <c r="I44" s="694">
        <v>6.6</v>
      </c>
      <c r="J44" s="694">
        <v>0.72</v>
      </c>
      <c r="K44" s="377">
        <f t="shared" si="7"/>
        <v>0.98999999999999988</v>
      </c>
      <c r="L44" s="102">
        <f t="shared" si="8"/>
        <v>8.3099999999999987</v>
      </c>
      <c r="M44" s="50">
        <f t="shared" si="1"/>
        <v>297</v>
      </c>
      <c r="N44" s="102">
        <f t="shared" si="9"/>
        <v>2970</v>
      </c>
      <c r="O44" s="102">
        <f t="shared" si="10"/>
        <v>324</v>
      </c>
      <c r="P44" s="102">
        <f t="shared" si="11"/>
        <v>445.5</v>
      </c>
      <c r="Q44" s="103">
        <f t="shared" si="12"/>
        <v>3739.5</v>
      </c>
    </row>
    <row r="45" spans="1:17" s="56" customFormat="1" ht="24.9">
      <c r="A45" s="303">
        <v>32</v>
      </c>
      <c r="B45" s="238"/>
      <c r="C45" s="224" t="s">
        <v>249</v>
      </c>
      <c r="D45" s="224" t="s">
        <v>252</v>
      </c>
      <c r="E45" s="219" t="s">
        <v>251</v>
      </c>
      <c r="F45" s="311">
        <v>370</v>
      </c>
      <c r="G45" s="240">
        <v>0.66</v>
      </c>
      <c r="H45" s="240">
        <v>10</v>
      </c>
      <c r="I45" s="694">
        <v>6.6</v>
      </c>
      <c r="J45" s="694">
        <v>1</v>
      </c>
      <c r="K45" s="377">
        <f t="shared" si="7"/>
        <v>0.98999999999999988</v>
      </c>
      <c r="L45" s="102">
        <f t="shared" si="8"/>
        <v>8.59</v>
      </c>
      <c r="M45" s="50">
        <f t="shared" si="1"/>
        <v>244.2</v>
      </c>
      <c r="N45" s="102">
        <f t="shared" si="9"/>
        <v>2442</v>
      </c>
      <c r="O45" s="102">
        <f t="shared" si="10"/>
        <v>370</v>
      </c>
      <c r="P45" s="102">
        <f t="shared" si="11"/>
        <v>366.3</v>
      </c>
      <c r="Q45" s="103">
        <f t="shared" si="12"/>
        <v>3178.3</v>
      </c>
    </row>
    <row r="46" spans="1:17" s="56" customFormat="1" ht="24.9">
      <c r="A46" s="695">
        <v>33</v>
      </c>
      <c r="B46" s="238"/>
      <c r="C46" s="224" t="s">
        <v>249</v>
      </c>
      <c r="D46" s="224" t="s">
        <v>253</v>
      </c>
      <c r="E46" s="219" t="s">
        <v>251</v>
      </c>
      <c r="F46" s="311">
        <v>230</v>
      </c>
      <c r="G46" s="240">
        <v>0.66</v>
      </c>
      <c r="H46" s="240">
        <v>10</v>
      </c>
      <c r="I46" s="694">
        <v>6.6</v>
      </c>
      <c r="J46" s="694">
        <v>2.08</v>
      </c>
      <c r="K46" s="377">
        <f t="shared" si="7"/>
        <v>0.98999999999999988</v>
      </c>
      <c r="L46" s="102">
        <f t="shared" ref="L46:L77" si="14">SUM(I46:K46)</f>
        <v>9.67</v>
      </c>
      <c r="M46" s="50">
        <f t="shared" si="1"/>
        <v>151.80000000000001</v>
      </c>
      <c r="N46" s="102">
        <f t="shared" ref="N46:N77" si="15">ROUND(I46*F46,2)</f>
        <v>1518</v>
      </c>
      <c r="O46" s="102">
        <f t="shared" ref="O46:O77" si="16">ROUND(J46*F46,2)</f>
        <v>478.4</v>
      </c>
      <c r="P46" s="102">
        <f t="shared" ref="P46:P77" si="17">ROUND(K46*F46,2)</f>
        <v>227.7</v>
      </c>
      <c r="Q46" s="103">
        <f t="shared" ref="Q46:Q77" si="18">SUM(N46:P46)</f>
        <v>2224.1</v>
      </c>
    </row>
    <row r="47" spans="1:17" s="56" customFormat="1" ht="24.9">
      <c r="A47" s="303">
        <v>34</v>
      </c>
      <c r="B47" s="238"/>
      <c r="C47" s="224" t="s">
        <v>249</v>
      </c>
      <c r="D47" s="224" t="s">
        <v>254</v>
      </c>
      <c r="E47" s="219" t="s">
        <v>251</v>
      </c>
      <c r="F47" s="311">
        <v>280</v>
      </c>
      <c r="G47" s="240">
        <v>0.66</v>
      </c>
      <c r="H47" s="240">
        <v>10</v>
      </c>
      <c r="I47" s="694">
        <v>6.6</v>
      </c>
      <c r="J47" s="694">
        <v>3.87</v>
      </c>
      <c r="K47" s="377">
        <f t="shared" si="7"/>
        <v>0.98999999999999988</v>
      </c>
      <c r="L47" s="102">
        <f t="shared" si="14"/>
        <v>11.459999999999999</v>
      </c>
      <c r="M47" s="50">
        <f t="shared" si="1"/>
        <v>184.8</v>
      </c>
      <c r="N47" s="102">
        <f t="shared" si="15"/>
        <v>1848</v>
      </c>
      <c r="O47" s="102">
        <f t="shared" si="16"/>
        <v>1083.5999999999999</v>
      </c>
      <c r="P47" s="102">
        <f t="shared" si="17"/>
        <v>277.2</v>
      </c>
      <c r="Q47" s="103">
        <f t="shared" si="18"/>
        <v>3208.7999999999997</v>
      </c>
    </row>
    <row r="48" spans="1:17" s="56" customFormat="1" ht="24.9">
      <c r="A48" s="695">
        <v>35</v>
      </c>
      <c r="B48" s="238"/>
      <c r="C48" s="224" t="s">
        <v>249</v>
      </c>
      <c r="D48" s="224" t="s">
        <v>255</v>
      </c>
      <c r="E48" s="219" t="s">
        <v>251</v>
      </c>
      <c r="F48" s="311">
        <v>40</v>
      </c>
      <c r="G48" s="240">
        <v>0.66</v>
      </c>
      <c r="H48" s="240">
        <v>10</v>
      </c>
      <c r="I48" s="694">
        <v>6.6</v>
      </c>
      <c r="J48" s="694">
        <v>5.81</v>
      </c>
      <c r="K48" s="377">
        <f t="shared" si="7"/>
        <v>0.98999999999999988</v>
      </c>
      <c r="L48" s="102">
        <f t="shared" si="14"/>
        <v>13.4</v>
      </c>
      <c r="M48" s="50">
        <f t="shared" si="1"/>
        <v>26.4</v>
      </c>
      <c r="N48" s="102">
        <f t="shared" si="15"/>
        <v>264</v>
      </c>
      <c r="O48" s="102">
        <f t="shared" si="16"/>
        <v>232.4</v>
      </c>
      <c r="P48" s="102">
        <f t="shared" si="17"/>
        <v>39.6</v>
      </c>
      <c r="Q48" s="103">
        <f t="shared" si="18"/>
        <v>536</v>
      </c>
    </row>
    <row r="49" spans="1:17" s="56" customFormat="1" ht="24.9">
      <c r="A49" s="303">
        <v>36</v>
      </c>
      <c r="B49" s="238"/>
      <c r="C49" s="224" t="s">
        <v>249</v>
      </c>
      <c r="D49" s="224" t="s">
        <v>256</v>
      </c>
      <c r="E49" s="219" t="s">
        <v>251</v>
      </c>
      <c r="F49" s="311">
        <v>40</v>
      </c>
      <c r="G49" s="240">
        <v>0.66</v>
      </c>
      <c r="H49" s="240">
        <v>10</v>
      </c>
      <c r="I49" s="694">
        <v>6.6</v>
      </c>
      <c r="J49" s="694">
        <v>8.52</v>
      </c>
      <c r="K49" s="377">
        <f t="shared" si="7"/>
        <v>0.98999999999999988</v>
      </c>
      <c r="L49" s="102">
        <f t="shared" si="14"/>
        <v>16.11</v>
      </c>
      <c r="M49" s="50">
        <f t="shared" si="1"/>
        <v>26.4</v>
      </c>
      <c r="N49" s="102">
        <f t="shared" si="15"/>
        <v>264</v>
      </c>
      <c r="O49" s="102">
        <f t="shared" si="16"/>
        <v>340.8</v>
      </c>
      <c r="P49" s="102">
        <f t="shared" si="17"/>
        <v>39.6</v>
      </c>
      <c r="Q49" s="103">
        <f t="shared" si="18"/>
        <v>644.4</v>
      </c>
    </row>
    <row r="50" spans="1:17" s="56" customFormat="1" ht="24.9">
      <c r="A50" s="695">
        <v>37</v>
      </c>
      <c r="B50" s="238"/>
      <c r="C50" s="224" t="s">
        <v>249</v>
      </c>
      <c r="D50" s="224" t="s">
        <v>257</v>
      </c>
      <c r="E50" s="219" t="s">
        <v>251</v>
      </c>
      <c r="F50" s="311">
        <v>20</v>
      </c>
      <c r="G50" s="240">
        <v>0.66</v>
      </c>
      <c r="H50" s="240">
        <v>10</v>
      </c>
      <c r="I50" s="694">
        <v>6.6</v>
      </c>
      <c r="J50" s="694">
        <v>14.6</v>
      </c>
      <c r="K50" s="377">
        <f t="shared" si="7"/>
        <v>0.98999999999999988</v>
      </c>
      <c r="L50" s="102">
        <f t="shared" si="14"/>
        <v>22.189999999999998</v>
      </c>
      <c r="M50" s="50">
        <f t="shared" si="1"/>
        <v>13.2</v>
      </c>
      <c r="N50" s="102">
        <f t="shared" si="15"/>
        <v>132</v>
      </c>
      <c r="O50" s="102">
        <f t="shared" si="16"/>
        <v>292</v>
      </c>
      <c r="P50" s="102">
        <f t="shared" si="17"/>
        <v>19.8</v>
      </c>
      <c r="Q50" s="103">
        <f t="shared" si="18"/>
        <v>443.8</v>
      </c>
    </row>
    <row r="51" spans="1:17" s="56" customFormat="1">
      <c r="A51" s="303">
        <v>38</v>
      </c>
      <c r="B51" s="238"/>
      <c r="C51" s="224" t="s">
        <v>258</v>
      </c>
      <c r="D51" s="224" t="s">
        <v>223</v>
      </c>
      <c r="E51" s="219" t="s">
        <v>251</v>
      </c>
      <c r="F51" s="311">
        <v>5</v>
      </c>
      <c r="G51" s="240">
        <v>0.5</v>
      </c>
      <c r="H51" s="240">
        <v>10</v>
      </c>
      <c r="I51" s="694">
        <v>5</v>
      </c>
      <c r="J51" s="694">
        <v>3.82</v>
      </c>
      <c r="K51" s="377">
        <f t="shared" si="7"/>
        <v>0.75</v>
      </c>
      <c r="L51" s="102">
        <f t="shared" si="14"/>
        <v>9.57</v>
      </c>
      <c r="M51" s="50">
        <f t="shared" si="1"/>
        <v>2.5</v>
      </c>
      <c r="N51" s="102">
        <f t="shared" si="15"/>
        <v>25</v>
      </c>
      <c r="O51" s="102">
        <f t="shared" si="16"/>
        <v>19.100000000000001</v>
      </c>
      <c r="P51" s="102">
        <f t="shared" si="17"/>
        <v>3.75</v>
      </c>
      <c r="Q51" s="103">
        <f t="shared" si="18"/>
        <v>47.85</v>
      </c>
    </row>
    <row r="52" spans="1:17" s="56" customFormat="1">
      <c r="A52" s="695">
        <v>39</v>
      </c>
      <c r="B52" s="238"/>
      <c r="C52" s="224" t="s">
        <v>258</v>
      </c>
      <c r="D52" s="224" t="s">
        <v>259</v>
      </c>
      <c r="E52" s="219" t="s">
        <v>251</v>
      </c>
      <c r="F52" s="311">
        <v>70</v>
      </c>
      <c r="G52" s="240">
        <v>0.5</v>
      </c>
      <c r="H52" s="240">
        <v>10</v>
      </c>
      <c r="I52" s="694">
        <v>5</v>
      </c>
      <c r="J52" s="694">
        <v>4.68</v>
      </c>
      <c r="K52" s="377">
        <f t="shared" si="7"/>
        <v>0.75</v>
      </c>
      <c r="L52" s="102">
        <f t="shared" si="14"/>
        <v>10.43</v>
      </c>
      <c r="M52" s="50">
        <f t="shared" si="1"/>
        <v>35</v>
      </c>
      <c r="N52" s="102">
        <f t="shared" si="15"/>
        <v>350</v>
      </c>
      <c r="O52" s="102">
        <f t="shared" si="16"/>
        <v>327.60000000000002</v>
      </c>
      <c r="P52" s="102">
        <f t="shared" si="17"/>
        <v>52.5</v>
      </c>
      <c r="Q52" s="103">
        <f t="shared" si="18"/>
        <v>730.1</v>
      </c>
    </row>
    <row r="53" spans="1:17" s="56" customFormat="1">
      <c r="A53" s="303">
        <v>40</v>
      </c>
      <c r="B53" s="238"/>
      <c r="C53" s="224" t="s">
        <v>258</v>
      </c>
      <c r="D53" s="224" t="s">
        <v>260</v>
      </c>
      <c r="E53" s="219" t="s">
        <v>251</v>
      </c>
      <c r="F53" s="311">
        <v>90</v>
      </c>
      <c r="G53" s="240">
        <v>0.8</v>
      </c>
      <c r="H53" s="240">
        <v>10</v>
      </c>
      <c r="I53" s="694">
        <v>8</v>
      </c>
      <c r="J53" s="694">
        <v>7.69</v>
      </c>
      <c r="K53" s="377">
        <f t="shared" si="7"/>
        <v>1.2</v>
      </c>
      <c r="L53" s="102">
        <f t="shared" si="14"/>
        <v>16.89</v>
      </c>
      <c r="M53" s="50">
        <f t="shared" si="1"/>
        <v>72</v>
      </c>
      <c r="N53" s="102">
        <f t="shared" si="15"/>
        <v>720</v>
      </c>
      <c r="O53" s="102">
        <f t="shared" si="16"/>
        <v>692.1</v>
      </c>
      <c r="P53" s="102">
        <f t="shared" si="17"/>
        <v>108</v>
      </c>
      <c r="Q53" s="103">
        <f t="shared" si="18"/>
        <v>1520.1</v>
      </c>
    </row>
    <row r="54" spans="1:17" s="56" customFormat="1">
      <c r="A54" s="695">
        <v>41</v>
      </c>
      <c r="B54" s="238"/>
      <c r="C54" s="224" t="s">
        <v>258</v>
      </c>
      <c r="D54" s="224" t="s">
        <v>261</v>
      </c>
      <c r="E54" s="219" t="s">
        <v>251</v>
      </c>
      <c r="F54" s="311">
        <v>50</v>
      </c>
      <c r="G54" s="240">
        <v>1</v>
      </c>
      <c r="H54" s="240">
        <v>10</v>
      </c>
      <c r="I54" s="694">
        <v>10</v>
      </c>
      <c r="J54" s="694">
        <v>9.2799999999999994</v>
      </c>
      <c r="K54" s="377">
        <f t="shared" si="7"/>
        <v>1.5</v>
      </c>
      <c r="L54" s="102">
        <f t="shared" si="14"/>
        <v>20.78</v>
      </c>
      <c r="M54" s="50">
        <f t="shared" si="1"/>
        <v>50</v>
      </c>
      <c r="N54" s="102">
        <f t="shared" si="15"/>
        <v>500</v>
      </c>
      <c r="O54" s="102">
        <f t="shared" si="16"/>
        <v>464</v>
      </c>
      <c r="P54" s="102">
        <f t="shared" si="17"/>
        <v>75</v>
      </c>
      <c r="Q54" s="103">
        <f t="shared" si="18"/>
        <v>1039</v>
      </c>
    </row>
    <row r="55" spans="1:17" s="56" customFormat="1">
      <c r="A55" s="303">
        <v>42</v>
      </c>
      <c r="B55" s="238"/>
      <c r="C55" s="224" t="s">
        <v>258</v>
      </c>
      <c r="D55" s="224" t="s">
        <v>262</v>
      </c>
      <c r="E55" s="219" t="s">
        <v>251</v>
      </c>
      <c r="F55" s="311">
        <v>15</v>
      </c>
      <c r="G55" s="240">
        <v>1</v>
      </c>
      <c r="H55" s="240">
        <v>10</v>
      </c>
      <c r="I55" s="694">
        <v>10</v>
      </c>
      <c r="J55" s="694">
        <v>13.15</v>
      </c>
      <c r="K55" s="377">
        <f t="shared" si="7"/>
        <v>1.5</v>
      </c>
      <c r="L55" s="102">
        <f t="shared" si="14"/>
        <v>24.65</v>
      </c>
      <c r="M55" s="50">
        <f t="shared" si="1"/>
        <v>15</v>
      </c>
      <c r="N55" s="102">
        <f t="shared" si="15"/>
        <v>150</v>
      </c>
      <c r="O55" s="102">
        <f t="shared" si="16"/>
        <v>197.25</v>
      </c>
      <c r="P55" s="102">
        <f t="shared" si="17"/>
        <v>22.5</v>
      </c>
      <c r="Q55" s="103">
        <f t="shared" si="18"/>
        <v>369.75</v>
      </c>
    </row>
    <row r="56" spans="1:17" s="56" customFormat="1">
      <c r="A56" s="695">
        <v>43</v>
      </c>
      <c r="B56" s="238"/>
      <c r="C56" s="224" t="s">
        <v>258</v>
      </c>
      <c r="D56" s="224" t="s">
        <v>263</v>
      </c>
      <c r="E56" s="219" t="s">
        <v>251</v>
      </c>
      <c r="F56" s="311">
        <v>30</v>
      </c>
      <c r="G56" s="240">
        <v>1</v>
      </c>
      <c r="H56" s="240">
        <v>10</v>
      </c>
      <c r="I56" s="694">
        <v>10</v>
      </c>
      <c r="J56" s="694">
        <v>17.57</v>
      </c>
      <c r="K56" s="377">
        <f t="shared" si="7"/>
        <v>1.5</v>
      </c>
      <c r="L56" s="102">
        <f t="shared" si="14"/>
        <v>29.07</v>
      </c>
      <c r="M56" s="50">
        <f t="shared" si="1"/>
        <v>30</v>
      </c>
      <c r="N56" s="102">
        <f t="shared" si="15"/>
        <v>300</v>
      </c>
      <c r="O56" s="102">
        <f t="shared" si="16"/>
        <v>527.1</v>
      </c>
      <c r="P56" s="102">
        <f t="shared" si="17"/>
        <v>45</v>
      </c>
      <c r="Q56" s="103">
        <f t="shared" si="18"/>
        <v>872.1</v>
      </c>
    </row>
    <row r="57" spans="1:17" s="56" customFormat="1">
      <c r="A57" s="303">
        <v>44</v>
      </c>
      <c r="B57" s="238"/>
      <c r="C57" s="224" t="s">
        <v>258</v>
      </c>
      <c r="D57" s="224" t="s">
        <v>264</v>
      </c>
      <c r="E57" s="219" t="s">
        <v>251</v>
      </c>
      <c r="F57" s="311">
        <v>160</v>
      </c>
      <c r="G57" s="240">
        <v>1.1000000000000001</v>
      </c>
      <c r="H57" s="240">
        <v>10</v>
      </c>
      <c r="I57" s="694">
        <v>11</v>
      </c>
      <c r="J57" s="694">
        <v>19.77</v>
      </c>
      <c r="K57" s="377">
        <f t="shared" si="7"/>
        <v>1.65</v>
      </c>
      <c r="L57" s="102">
        <f t="shared" si="14"/>
        <v>32.42</v>
      </c>
      <c r="M57" s="50">
        <f t="shared" si="1"/>
        <v>176</v>
      </c>
      <c r="N57" s="102">
        <f t="shared" si="15"/>
        <v>1760</v>
      </c>
      <c r="O57" s="102">
        <f t="shared" si="16"/>
        <v>3163.2</v>
      </c>
      <c r="P57" s="102">
        <f t="shared" si="17"/>
        <v>264</v>
      </c>
      <c r="Q57" s="103">
        <f t="shared" si="18"/>
        <v>5187.2</v>
      </c>
    </row>
    <row r="58" spans="1:17" s="56" customFormat="1">
      <c r="A58" s="695">
        <v>45</v>
      </c>
      <c r="B58" s="238"/>
      <c r="C58" s="224" t="s">
        <v>265</v>
      </c>
      <c r="D58" s="224" t="s">
        <v>266</v>
      </c>
      <c r="E58" s="219" t="s">
        <v>251</v>
      </c>
      <c r="F58" s="311">
        <v>4</v>
      </c>
      <c r="G58" s="240">
        <v>0.7</v>
      </c>
      <c r="H58" s="240">
        <v>10</v>
      </c>
      <c r="I58" s="694">
        <v>7</v>
      </c>
      <c r="J58" s="694">
        <v>4.04</v>
      </c>
      <c r="K58" s="377">
        <f t="shared" si="7"/>
        <v>1.05</v>
      </c>
      <c r="L58" s="102">
        <f t="shared" si="14"/>
        <v>12.09</v>
      </c>
      <c r="M58" s="50">
        <f t="shared" si="1"/>
        <v>2.8</v>
      </c>
      <c r="N58" s="102">
        <f t="shared" si="15"/>
        <v>28</v>
      </c>
      <c r="O58" s="102">
        <f t="shared" si="16"/>
        <v>16.16</v>
      </c>
      <c r="P58" s="102">
        <f t="shared" si="17"/>
        <v>4.2</v>
      </c>
      <c r="Q58" s="103">
        <f t="shared" si="18"/>
        <v>48.36</v>
      </c>
    </row>
    <row r="59" spans="1:17" s="56" customFormat="1">
      <c r="A59" s="303">
        <v>46</v>
      </c>
      <c r="B59" s="238"/>
      <c r="C59" s="224" t="s">
        <v>267</v>
      </c>
      <c r="D59" s="224" t="s">
        <v>268</v>
      </c>
      <c r="E59" s="219" t="s">
        <v>136</v>
      </c>
      <c r="F59" s="311">
        <v>2</v>
      </c>
      <c r="G59" s="240">
        <v>0.5</v>
      </c>
      <c r="H59" s="240">
        <v>10</v>
      </c>
      <c r="I59" s="694">
        <v>5</v>
      </c>
      <c r="J59" s="694">
        <v>26.62</v>
      </c>
      <c r="K59" s="377">
        <f t="shared" si="7"/>
        <v>0.75</v>
      </c>
      <c r="L59" s="102">
        <f t="shared" si="14"/>
        <v>32.370000000000005</v>
      </c>
      <c r="M59" s="50">
        <f t="shared" si="1"/>
        <v>1</v>
      </c>
      <c r="N59" s="102">
        <f t="shared" si="15"/>
        <v>10</v>
      </c>
      <c r="O59" s="102">
        <f t="shared" si="16"/>
        <v>53.24</v>
      </c>
      <c r="P59" s="102">
        <f t="shared" si="17"/>
        <v>1.5</v>
      </c>
      <c r="Q59" s="103">
        <f t="shared" si="18"/>
        <v>64.740000000000009</v>
      </c>
    </row>
    <row r="60" spans="1:17" s="56" customFormat="1">
      <c r="A60" s="695">
        <v>47</v>
      </c>
      <c r="B60" s="238"/>
      <c r="C60" s="224" t="s">
        <v>267</v>
      </c>
      <c r="D60" s="224" t="s">
        <v>269</v>
      </c>
      <c r="E60" s="219" t="s">
        <v>136</v>
      </c>
      <c r="F60" s="311">
        <v>8</v>
      </c>
      <c r="G60" s="240">
        <v>0.5</v>
      </c>
      <c r="H60" s="240">
        <v>10</v>
      </c>
      <c r="I60" s="694">
        <v>5</v>
      </c>
      <c r="J60" s="694">
        <v>29.83</v>
      </c>
      <c r="K60" s="377">
        <f t="shared" si="7"/>
        <v>0.75</v>
      </c>
      <c r="L60" s="102">
        <f t="shared" si="14"/>
        <v>35.58</v>
      </c>
      <c r="M60" s="50">
        <f t="shared" si="1"/>
        <v>4</v>
      </c>
      <c r="N60" s="102">
        <f t="shared" si="15"/>
        <v>40</v>
      </c>
      <c r="O60" s="102">
        <f t="shared" si="16"/>
        <v>238.64</v>
      </c>
      <c r="P60" s="102">
        <f t="shared" si="17"/>
        <v>6</v>
      </c>
      <c r="Q60" s="103">
        <f t="shared" si="18"/>
        <v>284.64</v>
      </c>
    </row>
    <row r="61" spans="1:17" s="56" customFormat="1">
      <c r="A61" s="303">
        <v>48</v>
      </c>
      <c r="B61" s="238"/>
      <c r="C61" s="224" t="s">
        <v>267</v>
      </c>
      <c r="D61" s="224" t="s">
        <v>270</v>
      </c>
      <c r="E61" s="219" t="s">
        <v>136</v>
      </c>
      <c r="F61" s="311">
        <v>2</v>
      </c>
      <c r="G61" s="240">
        <v>0.5</v>
      </c>
      <c r="H61" s="240">
        <v>10</v>
      </c>
      <c r="I61" s="694">
        <v>5</v>
      </c>
      <c r="J61" s="694">
        <v>33.979999999999997</v>
      </c>
      <c r="K61" s="377">
        <f t="shared" si="7"/>
        <v>0.75</v>
      </c>
      <c r="L61" s="102">
        <f t="shared" si="14"/>
        <v>39.729999999999997</v>
      </c>
      <c r="M61" s="50">
        <f t="shared" si="1"/>
        <v>1</v>
      </c>
      <c r="N61" s="102">
        <f t="shared" si="15"/>
        <v>10</v>
      </c>
      <c r="O61" s="102">
        <f t="shared" si="16"/>
        <v>67.959999999999994</v>
      </c>
      <c r="P61" s="102">
        <f t="shared" si="17"/>
        <v>1.5</v>
      </c>
      <c r="Q61" s="103">
        <f t="shared" si="18"/>
        <v>79.459999999999994</v>
      </c>
    </row>
    <row r="62" spans="1:17" s="56" customFormat="1">
      <c r="A62" s="695">
        <v>49</v>
      </c>
      <c r="B62" s="238"/>
      <c r="C62" s="224" t="s">
        <v>267</v>
      </c>
      <c r="D62" s="224" t="s">
        <v>271</v>
      </c>
      <c r="E62" s="219" t="s">
        <v>136</v>
      </c>
      <c r="F62" s="311">
        <v>2</v>
      </c>
      <c r="G62" s="240">
        <v>0.5</v>
      </c>
      <c r="H62" s="240">
        <v>10</v>
      </c>
      <c r="I62" s="694">
        <v>5</v>
      </c>
      <c r="J62" s="694">
        <v>35.909999999999997</v>
      </c>
      <c r="K62" s="377">
        <f t="shared" si="7"/>
        <v>0.75</v>
      </c>
      <c r="L62" s="102">
        <f t="shared" si="14"/>
        <v>41.66</v>
      </c>
      <c r="M62" s="50">
        <f t="shared" si="1"/>
        <v>1</v>
      </c>
      <c r="N62" s="102">
        <f t="shared" si="15"/>
        <v>10</v>
      </c>
      <c r="O62" s="102">
        <f t="shared" si="16"/>
        <v>71.819999999999993</v>
      </c>
      <c r="P62" s="102">
        <f t="shared" si="17"/>
        <v>1.5</v>
      </c>
      <c r="Q62" s="103">
        <f t="shared" si="18"/>
        <v>83.32</v>
      </c>
    </row>
    <row r="63" spans="1:17" s="56" customFormat="1">
      <c r="A63" s="303">
        <v>50</v>
      </c>
      <c r="B63" s="238"/>
      <c r="C63" s="224" t="s">
        <v>267</v>
      </c>
      <c r="D63" s="224" t="s">
        <v>273</v>
      </c>
      <c r="E63" s="219" t="s">
        <v>136</v>
      </c>
      <c r="F63" s="311">
        <v>2</v>
      </c>
      <c r="G63" s="240">
        <v>0.5</v>
      </c>
      <c r="H63" s="240">
        <v>10</v>
      </c>
      <c r="I63" s="694">
        <v>5</v>
      </c>
      <c r="J63" s="694">
        <v>71.260000000000005</v>
      </c>
      <c r="K63" s="377">
        <f t="shared" si="7"/>
        <v>0.75</v>
      </c>
      <c r="L63" s="102">
        <f t="shared" si="14"/>
        <v>77.010000000000005</v>
      </c>
      <c r="M63" s="50">
        <f t="shared" si="1"/>
        <v>1</v>
      </c>
      <c r="N63" s="102">
        <f t="shared" si="15"/>
        <v>10</v>
      </c>
      <c r="O63" s="102">
        <f t="shared" si="16"/>
        <v>142.52000000000001</v>
      </c>
      <c r="P63" s="102">
        <f t="shared" si="17"/>
        <v>1.5</v>
      </c>
      <c r="Q63" s="103">
        <f t="shared" si="18"/>
        <v>154.02000000000001</v>
      </c>
    </row>
    <row r="64" spans="1:17" s="56" customFormat="1">
      <c r="A64" s="695">
        <v>51</v>
      </c>
      <c r="B64" s="238"/>
      <c r="C64" s="224" t="s">
        <v>274</v>
      </c>
      <c r="D64" s="224" t="s">
        <v>223</v>
      </c>
      <c r="E64" s="219" t="s">
        <v>118</v>
      </c>
      <c r="F64" s="311">
        <v>3</v>
      </c>
      <c r="G64" s="240">
        <v>0.65</v>
      </c>
      <c r="H64" s="240">
        <v>10</v>
      </c>
      <c r="I64" s="694">
        <v>6.5</v>
      </c>
      <c r="J64" s="694">
        <v>20.36</v>
      </c>
      <c r="K64" s="377">
        <f t="shared" si="7"/>
        <v>0.97499999999999998</v>
      </c>
      <c r="L64" s="102">
        <f t="shared" si="14"/>
        <v>27.835000000000001</v>
      </c>
      <c r="M64" s="50">
        <f t="shared" si="1"/>
        <v>1.95</v>
      </c>
      <c r="N64" s="102">
        <f t="shared" si="15"/>
        <v>19.5</v>
      </c>
      <c r="O64" s="102">
        <f t="shared" si="16"/>
        <v>61.08</v>
      </c>
      <c r="P64" s="102">
        <f t="shared" si="17"/>
        <v>2.93</v>
      </c>
      <c r="Q64" s="103">
        <f t="shared" si="18"/>
        <v>83.51</v>
      </c>
    </row>
    <row r="65" spans="1:17" s="56" customFormat="1">
      <c r="A65" s="303">
        <v>52</v>
      </c>
      <c r="B65" s="238"/>
      <c r="C65" s="224" t="s">
        <v>274</v>
      </c>
      <c r="D65" s="224" t="s">
        <v>259</v>
      </c>
      <c r="E65" s="219" t="s">
        <v>118</v>
      </c>
      <c r="F65" s="311">
        <v>9</v>
      </c>
      <c r="G65" s="240">
        <v>0.65</v>
      </c>
      <c r="H65" s="240">
        <v>10</v>
      </c>
      <c r="I65" s="694">
        <v>6.5</v>
      </c>
      <c r="J65" s="694">
        <v>22.69</v>
      </c>
      <c r="K65" s="377">
        <f t="shared" si="7"/>
        <v>0.97499999999999998</v>
      </c>
      <c r="L65" s="102">
        <f t="shared" si="14"/>
        <v>30.165000000000003</v>
      </c>
      <c r="M65" s="50">
        <f t="shared" si="1"/>
        <v>5.85</v>
      </c>
      <c r="N65" s="102">
        <f t="shared" si="15"/>
        <v>58.5</v>
      </c>
      <c r="O65" s="102">
        <f t="shared" si="16"/>
        <v>204.21</v>
      </c>
      <c r="P65" s="102">
        <f t="shared" si="17"/>
        <v>8.7799999999999994</v>
      </c>
      <c r="Q65" s="103">
        <f t="shared" si="18"/>
        <v>271.49</v>
      </c>
    </row>
    <row r="66" spans="1:17" s="56" customFormat="1">
      <c r="A66" s="695">
        <v>53</v>
      </c>
      <c r="B66" s="238"/>
      <c r="C66" s="224" t="s">
        <v>274</v>
      </c>
      <c r="D66" s="224" t="s">
        <v>275</v>
      </c>
      <c r="E66" s="219" t="s">
        <v>118</v>
      </c>
      <c r="F66" s="311">
        <v>4</v>
      </c>
      <c r="G66" s="240">
        <v>0.65</v>
      </c>
      <c r="H66" s="240">
        <v>10</v>
      </c>
      <c r="I66" s="694">
        <v>6.5</v>
      </c>
      <c r="J66" s="694">
        <v>27.01</v>
      </c>
      <c r="K66" s="377">
        <f t="shared" si="7"/>
        <v>0.97499999999999998</v>
      </c>
      <c r="L66" s="102">
        <f t="shared" si="14"/>
        <v>34.485000000000007</v>
      </c>
      <c r="M66" s="50">
        <f t="shared" si="1"/>
        <v>2.6</v>
      </c>
      <c r="N66" s="102">
        <f t="shared" si="15"/>
        <v>26</v>
      </c>
      <c r="O66" s="102">
        <f t="shared" si="16"/>
        <v>108.04</v>
      </c>
      <c r="P66" s="102">
        <f t="shared" si="17"/>
        <v>3.9</v>
      </c>
      <c r="Q66" s="103">
        <f t="shared" si="18"/>
        <v>137.94000000000003</v>
      </c>
    </row>
    <row r="67" spans="1:17" s="56" customFormat="1">
      <c r="A67" s="303">
        <v>54</v>
      </c>
      <c r="B67" s="238"/>
      <c r="C67" s="224" t="s">
        <v>274</v>
      </c>
      <c r="D67" s="224" t="s">
        <v>260</v>
      </c>
      <c r="E67" s="219" t="s">
        <v>118</v>
      </c>
      <c r="F67" s="311">
        <v>2</v>
      </c>
      <c r="G67" s="240">
        <v>0.65</v>
      </c>
      <c r="H67" s="240">
        <v>10</v>
      </c>
      <c r="I67" s="694">
        <v>6.5</v>
      </c>
      <c r="J67" s="694">
        <v>29.21</v>
      </c>
      <c r="K67" s="377">
        <f t="shared" si="7"/>
        <v>0.97499999999999998</v>
      </c>
      <c r="L67" s="102">
        <f t="shared" si="14"/>
        <v>36.685000000000002</v>
      </c>
      <c r="M67" s="50">
        <f t="shared" si="1"/>
        <v>1.3</v>
      </c>
      <c r="N67" s="102">
        <f t="shared" si="15"/>
        <v>13</v>
      </c>
      <c r="O67" s="102">
        <f t="shared" si="16"/>
        <v>58.42</v>
      </c>
      <c r="P67" s="102">
        <f t="shared" si="17"/>
        <v>1.95</v>
      </c>
      <c r="Q67" s="103">
        <f t="shared" si="18"/>
        <v>73.37</v>
      </c>
    </row>
    <row r="68" spans="1:17" s="56" customFormat="1">
      <c r="A68" s="695">
        <v>55</v>
      </c>
      <c r="B68" s="238"/>
      <c r="C68" s="224" t="s">
        <v>274</v>
      </c>
      <c r="D68" s="224" t="s">
        <v>262</v>
      </c>
      <c r="E68" s="219" t="s">
        <v>118</v>
      </c>
      <c r="F68" s="311">
        <v>8</v>
      </c>
      <c r="G68" s="240">
        <v>0.65</v>
      </c>
      <c r="H68" s="240">
        <v>10</v>
      </c>
      <c r="I68" s="694">
        <v>6.5</v>
      </c>
      <c r="J68" s="694">
        <v>41.59</v>
      </c>
      <c r="K68" s="377">
        <f t="shared" si="7"/>
        <v>0.97499999999999998</v>
      </c>
      <c r="L68" s="102">
        <f t="shared" si="14"/>
        <v>49.065000000000005</v>
      </c>
      <c r="M68" s="50">
        <f t="shared" si="1"/>
        <v>5.2</v>
      </c>
      <c r="N68" s="102">
        <f t="shared" si="15"/>
        <v>52</v>
      </c>
      <c r="O68" s="102">
        <f t="shared" si="16"/>
        <v>332.72</v>
      </c>
      <c r="P68" s="102">
        <f t="shared" si="17"/>
        <v>7.8</v>
      </c>
      <c r="Q68" s="103">
        <f t="shared" si="18"/>
        <v>392.52000000000004</v>
      </c>
    </row>
    <row r="69" spans="1:17" s="56" customFormat="1">
      <c r="A69" s="303">
        <v>56</v>
      </c>
      <c r="B69" s="238"/>
      <c r="C69" s="224" t="s">
        <v>274</v>
      </c>
      <c r="D69" s="224" t="s">
        <v>264</v>
      </c>
      <c r="E69" s="219" t="s">
        <v>118</v>
      </c>
      <c r="F69" s="311">
        <v>2</v>
      </c>
      <c r="G69" s="240">
        <v>0.65</v>
      </c>
      <c r="H69" s="240">
        <v>10</v>
      </c>
      <c r="I69" s="694">
        <v>6.5</v>
      </c>
      <c r="J69" s="694">
        <v>99.48</v>
      </c>
      <c r="K69" s="377">
        <f t="shared" si="7"/>
        <v>0.97499999999999998</v>
      </c>
      <c r="L69" s="102">
        <f t="shared" si="14"/>
        <v>106.955</v>
      </c>
      <c r="M69" s="50">
        <f t="shared" si="1"/>
        <v>1.3</v>
      </c>
      <c r="N69" s="102">
        <f t="shared" si="15"/>
        <v>13</v>
      </c>
      <c r="O69" s="102">
        <f t="shared" si="16"/>
        <v>198.96</v>
      </c>
      <c r="P69" s="102">
        <f t="shared" si="17"/>
        <v>1.95</v>
      </c>
      <c r="Q69" s="103">
        <f t="shared" si="18"/>
        <v>213.91</v>
      </c>
    </row>
    <row r="70" spans="1:17" s="56" customFormat="1">
      <c r="A70" s="695">
        <v>57</v>
      </c>
      <c r="B70" s="238"/>
      <c r="C70" s="224" t="s">
        <v>276</v>
      </c>
      <c r="D70" s="224" t="s">
        <v>223</v>
      </c>
      <c r="E70" s="219" t="s">
        <v>118</v>
      </c>
      <c r="F70" s="311">
        <v>16</v>
      </c>
      <c r="G70" s="240">
        <v>0.65</v>
      </c>
      <c r="H70" s="240">
        <v>10</v>
      </c>
      <c r="I70" s="694">
        <v>6.5</v>
      </c>
      <c r="J70" s="694">
        <v>20.36</v>
      </c>
      <c r="K70" s="377">
        <f t="shared" si="7"/>
        <v>0.97499999999999998</v>
      </c>
      <c r="L70" s="102">
        <f t="shared" si="14"/>
        <v>27.835000000000001</v>
      </c>
      <c r="M70" s="50">
        <f t="shared" si="1"/>
        <v>10.4</v>
      </c>
      <c r="N70" s="102">
        <f t="shared" si="15"/>
        <v>104</v>
      </c>
      <c r="O70" s="102">
        <f t="shared" si="16"/>
        <v>325.76</v>
      </c>
      <c r="P70" s="102">
        <f t="shared" si="17"/>
        <v>15.6</v>
      </c>
      <c r="Q70" s="103">
        <f t="shared" si="18"/>
        <v>445.36</v>
      </c>
    </row>
    <row r="71" spans="1:17" s="56" customFormat="1">
      <c r="A71" s="303">
        <v>58</v>
      </c>
      <c r="B71" s="238"/>
      <c r="C71" s="305" t="s">
        <v>277</v>
      </c>
      <c r="D71" s="305" t="s">
        <v>223</v>
      </c>
      <c r="E71" s="306" t="s">
        <v>118</v>
      </c>
      <c r="F71" s="307">
        <v>1</v>
      </c>
      <c r="G71" s="698">
        <v>0.65</v>
      </c>
      <c r="H71" s="362">
        <v>10</v>
      </c>
      <c r="I71" s="363">
        <f t="shared" ref="I71" si="19">ROUND(G71*H71,2)</f>
        <v>6.5</v>
      </c>
      <c r="J71" s="363">
        <v>6.64</v>
      </c>
      <c r="K71" s="377">
        <f t="shared" si="7"/>
        <v>0.97499999999999998</v>
      </c>
      <c r="L71" s="102">
        <f t="shared" si="14"/>
        <v>14.115</v>
      </c>
      <c r="M71" s="50">
        <f t="shared" si="1"/>
        <v>0.65</v>
      </c>
      <c r="N71" s="102">
        <f t="shared" si="15"/>
        <v>6.5</v>
      </c>
      <c r="O71" s="102">
        <f t="shared" si="16"/>
        <v>6.64</v>
      </c>
      <c r="P71" s="102">
        <f t="shared" si="17"/>
        <v>0.98</v>
      </c>
      <c r="Q71" s="103">
        <f t="shared" si="18"/>
        <v>14.120000000000001</v>
      </c>
    </row>
    <row r="72" spans="1:17" s="56" customFormat="1">
      <c r="A72" s="695">
        <v>59</v>
      </c>
      <c r="B72" s="238"/>
      <c r="C72" s="224" t="s">
        <v>277</v>
      </c>
      <c r="D72" s="224" t="s">
        <v>259</v>
      </c>
      <c r="E72" s="219" t="s">
        <v>118</v>
      </c>
      <c r="F72" s="311">
        <v>2</v>
      </c>
      <c r="G72" s="240">
        <v>0.65</v>
      </c>
      <c r="H72" s="240">
        <v>10</v>
      </c>
      <c r="I72" s="694">
        <v>6.5</v>
      </c>
      <c r="J72" s="694">
        <v>2.2799999999999998</v>
      </c>
      <c r="K72" s="377">
        <f t="shared" si="7"/>
        <v>0.97499999999999998</v>
      </c>
      <c r="L72" s="102">
        <f t="shared" si="14"/>
        <v>9.754999999999999</v>
      </c>
      <c r="M72" s="50">
        <f t="shared" si="1"/>
        <v>1.3</v>
      </c>
      <c r="N72" s="102">
        <f t="shared" si="15"/>
        <v>13</v>
      </c>
      <c r="O72" s="102">
        <f t="shared" si="16"/>
        <v>4.5599999999999996</v>
      </c>
      <c r="P72" s="102">
        <f t="shared" si="17"/>
        <v>1.95</v>
      </c>
      <c r="Q72" s="103">
        <f t="shared" si="18"/>
        <v>19.509999999999998</v>
      </c>
    </row>
    <row r="73" spans="1:17" s="56" customFormat="1">
      <c r="A73" s="303">
        <v>60</v>
      </c>
      <c r="B73" s="238"/>
      <c r="C73" s="305" t="s">
        <v>277</v>
      </c>
      <c r="D73" s="305" t="s">
        <v>275</v>
      </c>
      <c r="E73" s="306" t="s">
        <v>118</v>
      </c>
      <c r="F73" s="307">
        <v>1</v>
      </c>
      <c r="G73" s="240">
        <v>0.65</v>
      </c>
      <c r="H73" s="240">
        <v>10</v>
      </c>
      <c r="I73" s="694">
        <v>6.5</v>
      </c>
      <c r="J73" s="694">
        <v>8.18</v>
      </c>
      <c r="K73" s="377">
        <f t="shared" si="7"/>
        <v>0.97499999999999998</v>
      </c>
      <c r="L73" s="102">
        <f t="shared" si="14"/>
        <v>15.654999999999999</v>
      </c>
      <c r="M73" s="50">
        <f t="shared" si="1"/>
        <v>0.65</v>
      </c>
      <c r="N73" s="102">
        <f t="shared" si="15"/>
        <v>6.5</v>
      </c>
      <c r="O73" s="102">
        <f t="shared" si="16"/>
        <v>8.18</v>
      </c>
      <c r="P73" s="102">
        <f t="shared" si="17"/>
        <v>0.98</v>
      </c>
      <c r="Q73" s="103">
        <f t="shared" si="18"/>
        <v>15.66</v>
      </c>
    </row>
    <row r="74" spans="1:17" s="56" customFormat="1">
      <c r="A74" s="695">
        <v>61</v>
      </c>
      <c r="B74" s="238"/>
      <c r="C74" s="224" t="s">
        <v>277</v>
      </c>
      <c r="D74" s="224" t="s">
        <v>260</v>
      </c>
      <c r="E74" s="219" t="s">
        <v>118</v>
      </c>
      <c r="F74" s="311">
        <v>2</v>
      </c>
      <c r="G74" s="240">
        <v>0.65</v>
      </c>
      <c r="H74" s="240">
        <v>10</v>
      </c>
      <c r="I74" s="694">
        <v>6.5</v>
      </c>
      <c r="J74" s="694">
        <v>3.51</v>
      </c>
      <c r="K74" s="377">
        <f t="shared" si="7"/>
        <v>0.97499999999999998</v>
      </c>
      <c r="L74" s="102">
        <f t="shared" si="14"/>
        <v>10.984999999999999</v>
      </c>
      <c r="M74" s="50">
        <f t="shared" si="1"/>
        <v>1.3</v>
      </c>
      <c r="N74" s="102">
        <f t="shared" si="15"/>
        <v>13</v>
      </c>
      <c r="O74" s="102">
        <f t="shared" si="16"/>
        <v>7.02</v>
      </c>
      <c r="P74" s="102">
        <f t="shared" si="17"/>
        <v>1.95</v>
      </c>
      <c r="Q74" s="103">
        <f t="shared" si="18"/>
        <v>21.97</v>
      </c>
    </row>
    <row r="75" spans="1:17" s="56" customFormat="1">
      <c r="A75" s="303">
        <v>62</v>
      </c>
      <c r="B75" s="238"/>
      <c r="C75" s="224" t="s">
        <v>277</v>
      </c>
      <c r="D75" s="224" t="s">
        <v>262</v>
      </c>
      <c r="E75" s="219" t="s">
        <v>118</v>
      </c>
      <c r="F75" s="311">
        <v>2</v>
      </c>
      <c r="G75" s="240">
        <v>0.65</v>
      </c>
      <c r="H75" s="240">
        <v>10</v>
      </c>
      <c r="I75" s="694">
        <v>6.5</v>
      </c>
      <c r="J75" s="694">
        <v>7.38</v>
      </c>
      <c r="K75" s="377">
        <f t="shared" si="7"/>
        <v>0.97499999999999998</v>
      </c>
      <c r="L75" s="102">
        <f t="shared" si="14"/>
        <v>14.854999999999999</v>
      </c>
      <c r="M75" s="50">
        <f t="shared" si="1"/>
        <v>1.3</v>
      </c>
      <c r="N75" s="102">
        <f t="shared" si="15"/>
        <v>13</v>
      </c>
      <c r="O75" s="102">
        <f t="shared" si="16"/>
        <v>14.76</v>
      </c>
      <c r="P75" s="102">
        <f t="shared" si="17"/>
        <v>1.95</v>
      </c>
      <c r="Q75" s="103">
        <f t="shared" si="18"/>
        <v>29.709999999999997</v>
      </c>
    </row>
    <row r="76" spans="1:17" s="56" customFormat="1">
      <c r="A76" s="695">
        <v>63</v>
      </c>
      <c r="B76" s="238"/>
      <c r="C76" s="305" t="s">
        <v>278</v>
      </c>
      <c r="D76" s="305" t="s">
        <v>259</v>
      </c>
      <c r="E76" s="306" t="s">
        <v>118</v>
      </c>
      <c r="F76" s="307">
        <v>1</v>
      </c>
      <c r="G76" s="710">
        <v>0.65</v>
      </c>
      <c r="H76" s="373">
        <v>10</v>
      </c>
      <c r="I76" s="363">
        <f t="shared" ref="I76" si="20">ROUND(G76*H76,2)</f>
        <v>6.5</v>
      </c>
      <c r="J76" s="363">
        <v>10.95</v>
      </c>
      <c r="K76" s="377">
        <f t="shared" si="7"/>
        <v>0.97499999999999998</v>
      </c>
      <c r="L76" s="102">
        <f t="shared" si="14"/>
        <v>18.425000000000001</v>
      </c>
      <c r="M76" s="50">
        <f t="shared" si="1"/>
        <v>0.65</v>
      </c>
      <c r="N76" s="102">
        <f t="shared" si="15"/>
        <v>6.5</v>
      </c>
      <c r="O76" s="102">
        <f t="shared" si="16"/>
        <v>10.95</v>
      </c>
      <c r="P76" s="102">
        <f t="shared" si="17"/>
        <v>0.98</v>
      </c>
      <c r="Q76" s="103">
        <f t="shared" si="18"/>
        <v>18.43</v>
      </c>
    </row>
    <row r="77" spans="1:17" s="56" customFormat="1">
      <c r="A77" s="303">
        <v>64</v>
      </c>
      <c r="B77" s="238"/>
      <c r="C77" s="305" t="s">
        <v>278</v>
      </c>
      <c r="D77" s="305" t="s">
        <v>275</v>
      </c>
      <c r="E77" s="306" t="s">
        <v>118</v>
      </c>
      <c r="F77" s="307">
        <v>1</v>
      </c>
      <c r="G77" s="240">
        <v>0.65</v>
      </c>
      <c r="H77" s="240">
        <v>10</v>
      </c>
      <c r="I77" s="694">
        <v>6.5</v>
      </c>
      <c r="J77" s="694">
        <v>12.56</v>
      </c>
      <c r="K77" s="377">
        <f t="shared" si="7"/>
        <v>0.97499999999999998</v>
      </c>
      <c r="L77" s="102">
        <f t="shared" si="14"/>
        <v>20.035000000000004</v>
      </c>
      <c r="M77" s="50">
        <f t="shared" ref="M77:M104" si="21">ROUND(G77*F77,2)</f>
        <v>0.65</v>
      </c>
      <c r="N77" s="102">
        <f t="shared" si="15"/>
        <v>6.5</v>
      </c>
      <c r="O77" s="102">
        <f t="shared" si="16"/>
        <v>12.56</v>
      </c>
      <c r="P77" s="102">
        <f t="shared" si="17"/>
        <v>0.98</v>
      </c>
      <c r="Q77" s="103">
        <f t="shared" si="18"/>
        <v>20.040000000000003</v>
      </c>
    </row>
    <row r="78" spans="1:17" s="56" customFormat="1">
      <c r="A78" s="695">
        <v>65</v>
      </c>
      <c r="B78" s="238"/>
      <c r="C78" s="224" t="s">
        <v>278</v>
      </c>
      <c r="D78" s="224" t="s">
        <v>262</v>
      </c>
      <c r="E78" s="219" t="s">
        <v>118</v>
      </c>
      <c r="F78" s="311">
        <v>2</v>
      </c>
      <c r="G78" s="240">
        <v>0.65</v>
      </c>
      <c r="H78" s="240">
        <v>10</v>
      </c>
      <c r="I78" s="694">
        <v>6.5</v>
      </c>
      <c r="J78" s="694">
        <v>47.2</v>
      </c>
      <c r="K78" s="377">
        <f t="shared" ref="K78:K103" si="22">I78*0.15</f>
        <v>0.97499999999999998</v>
      </c>
      <c r="L78" s="102">
        <f t="shared" ref="L78:L104" si="23">SUM(I78:K78)</f>
        <v>54.675000000000004</v>
      </c>
      <c r="M78" s="50">
        <f t="shared" si="21"/>
        <v>1.3</v>
      </c>
      <c r="N78" s="102">
        <f t="shared" ref="N78:N104" si="24">ROUND(I78*F78,2)</f>
        <v>13</v>
      </c>
      <c r="O78" s="102">
        <f t="shared" ref="O78:O104" si="25">ROUND(J78*F78,2)</f>
        <v>94.4</v>
      </c>
      <c r="P78" s="102">
        <f t="shared" ref="P78:P104" si="26">ROUND(K78*F78,2)</f>
        <v>1.95</v>
      </c>
      <c r="Q78" s="103">
        <f t="shared" ref="Q78:Q104" si="27">SUM(N78:P78)</f>
        <v>109.35000000000001</v>
      </c>
    </row>
    <row r="79" spans="1:17" s="56" customFormat="1">
      <c r="A79" s="303">
        <v>66</v>
      </c>
      <c r="B79" s="238"/>
      <c r="C79" s="224" t="s">
        <v>279</v>
      </c>
      <c r="D79" s="224" t="s">
        <v>280</v>
      </c>
      <c r="E79" s="219" t="s">
        <v>118</v>
      </c>
      <c r="F79" s="311">
        <v>8</v>
      </c>
      <c r="G79" s="240">
        <v>0.65</v>
      </c>
      <c r="H79" s="240">
        <v>10</v>
      </c>
      <c r="I79" s="694">
        <v>6.5</v>
      </c>
      <c r="J79" s="694">
        <v>31.19</v>
      </c>
      <c r="K79" s="377">
        <f t="shared" si="22"/>
        <v>0.97499999999999998</v>
      </c>
      <c r="L79" s="102">
        <f t="shared" si="23"/>
        <v>38.664999999999999</v>
      </c>
      <c r="M79" s="50">
        <f t="shared" si="21"/>
        <v>5.2</v>
      </c>
      <c r="N79" s="102">
        <f t="shared" si="24"/>
        <v>52</v>
      </c>
      <c r="O79" s="102">
        <f t="shared" si="25"/>
        <v>249.52</v>
      </c>
      <c r="P79" s="102">
        <f t="shared" si="26"/>
        <v>7.8</v>
      </c>
      <c r="Q79" s="103">
        <f t="shared" si="27"/>
        <v>309.32</v>
      </c>
    </row>
    <row r="80" spans="1:17" s="56" customFormat="1">
      <c r="A80" s="695">
        <v>67</v>
      </c>
      <c r="B80" s="238"/>
      <c r="C80" s="224" t="s">
        <v>281</v>
      </c>
      <c r="D80" s="224" t="s">
        <v>282</v>
      </c>
      <c r="E80" s="219" t="s">
        <v>118</v>
      </c>
      <c r="F80" s="311">
        <v>12</v>
      </c>
      <c r="G80" s="240">
        <v>0.7</v>
      </c>
      <c r="H80" s="240">
        <v>10</v>
      </c>
      <c r="I80" s="694">
        <v>7</v>
      </c>
      <c r="J80" s="694">
        <v>13.7</v>
      </c>
      <c r="K80" s="377">
        <f t="shared" si="22"/>
        <v>1.05</v>
      </c>
      <c r="L80" s="102">
        <f t="shared" si="23"/>
        <v>21.75</v>
      </c>
      <c r="M80" s="50">
        <f t="shared" si="21"/>
        <v>8.4</v>
      </c>
      <c r="N80" s="102">
        <f t="shared" si="24"/>
        <v>84</v>
      </c>
      <c r="O80" s="102">
        <f t="shared" si="25"/>
        <v>164.4</v>
      </c>
      <c r="P80" s="102">
        <f t="shared" si="26"/>
        <v>12.6</v>
      </c>
      <c r="Q80" s="103">
        <f t="shared" si="27"/>
        <v>261</v>
      </c>
    </row>
    <row r="81" spans="1:17" s="56" customFormat="1">
      <c r="A81" s="303">
        <v>68</v>
      </c>
      <c r="B81" s="238"/>
      <c r="C81" s="224" t="s">
        <v>283</v>
      </c>
      <c r="D81" s="224" t="s">
        <v>223</v>
      </c>
      <c r="E81" s="219" t="s">
        <v>118</v>
      </c>
      <c r="F81" s="311">
        <v>12</v>
      </c>
      <c r="G81" s="240">
        <v>0.65</v>
      </c>
      <c r="H81" s="240">
        <v>10</v>
      </c>
      <c r="I81" s="694">
        <v>6.5</v>
      </c>
      <c r="J81" s="694">
        <v>6.36</v>
      </c>
      <c r="K81" s="377">
        <f t="shared" si="22"/>
        <v>0.97499999999999998</v>
      </c>
      <c r="L81" s="102">
        <f t="shared" si="23"/>
        <v>13.834999999999999</v>
      </c>
      <c r="M81" s="50">
        <f t="shared" si="21"/>
        <v>7.8</v>
      </c>
      <c r="N81" s="102">
        <f t="shared" si="24"/>
        <v>78</v>
      </c>
      <c r="O81" s="102">
        <f t="shared" si="25"/>
        <v>76.319999999999993</v>
      </c>
      <c r="P81" s="102">
        <f t="shared" si="26"/>
        <v>11.7</v>
      </c>
      <c r="Q81" s="103">
        <f t="shared" si="27"/>
        <v>166.01999999999998</v>
      </c>
    </row>
    <row r="82" spans="1:17" s="56" customFormat="1">
      <c r="A82" s="695">
        <v>69</v>
      </c>
      <c r="B82" s="238"/>
      <c r="C82" s="224" t="s">
        <v>284</v>
      </c>
      <c r="D82" s="224" t="s">
        <v>223</v>
      </c>
      <c r="E82" s="219" t="s">
        <v>118</v>
      </c>
      <c r="F82" s="311">
        <v>12</v>
      </c>
      <c r="G82" s="240">
        <v>0.7</v>
      </c>
      <c r="H82" s="240">
        <v>10</v>
      </c>
      <c r="I82" s="694">
        <v>7</v>
      </c>
      <c r="J82" s="694">
        <v>12.83</v>
      </c>
      <c r="K82" s="377">
        <f t="shared" si="22"/>
        <v>1.05</v>
      </c>
      <c r="L82" s="102">
        <f t="shared" si="23"/>
        <v>20.88</v>
      </c>
      <c r="M82" s="50">
        <f t="shared" si="21"/>
        <v>8.4</v>
      </c>
      <c r="N82" s="102">
        <f t="shared" si="24"/>
        <v>84</v>
      </c>
      <c r="O82" s="102">
        <f t="shared" si="25"/>
        <v>153.96</v>
      </c>
      <c r="P82" s="102">
        <f t="shared" si="26"/>
        <v>12.6</v>
      </c>
      <c r="Q82" s="103">
        <f t="shared" si="27"/>
        <v>250.56</v>
      </c>
    </row>
    <row r="83" spans="1:17" s="56" customFormat="1">
      <c r="A83" s="303">
        <v>70</v>
      </c>
      <c r="B83" s="238"/>
      <c r="C83" s="224" t="s">
        <v>285</v>
      </c>
      <c r="D83" s="224" t="s">
        <v>286</v>
      </c>
      <c r="E83" s="219" t="s">
        <v>251</v>
      </c>
      <c r="F83" s="311">
        <v>470</v>
      </c>
      <c r="G83" s="240">
        <v>0.3</v>
      </c>
      <c r="H83" s="240">
        <v>10</v>
      </c>
      <c r="I83" s="694">
        <v>3</v>
      </c>
      <c r="J83" s="694">
        <v>0.22</v>
      </c>
      <c r="K83" s="377">
        <f t="shared" si="22"/>
        <v>0.44999999999999996</v>
      </c>
      <c r="L83" s="102">
        <f t="shared" si="23"/>
        <v>3.67</v>
      </c>
      <c r="M83" s="50">
        <f t="shared" si="21"/>
        <v>141</v>
      </c>
      <c r="N83" s="102">
        <f t="shared" si="24"/>
        <v>1410</v>
      </c>
      <c r="O83" s="102">
        <f t="shared" si="25"/>
        <v>103.4</v>
      </c>
      <c r="P83" s="102">
        <f t="shared" si="26"/>
        <v>211.5</v>
      </c>
      <c r="Q83" s="103">
        <f t="shared" si="27"/>
        <v>1724.9</v>
      </c>
    </row>
    <row r="84" spans="1:17" s="56" customFormat="1">
      <c r="A84" s="695">
        <v>71</v>
      </c>
      <c r="B84" s="238"/>
      <c r="C84" s="224" t="s">
        <v>285</v>
      </c>
      <c r="D84" s="224" t="s">
        <v>287</v>
      </c>
      <c r="E84" s="219" t="s">
        <v>251</v>
      </c>
      <c r="F84" s="311">
        <v>387</v>
      </c>
      <c r="G84" s="240">
        <v>0.3</v>
      </c>
      <c r="H84" s="240">
        <v>10</v>
      </c>
      <c r="I84" s="694">
        <v>3</v>
      </c>
      <c r="J84" s="694">
        <v>0.42</v>
      </c>
      <c r="K84" s="377">
        <f t="shared" si="22"/>
        <v>0.44999999999999996</v>
      </c>
      <c r="L84" s="102">
        <f t="shared" si="23"/>
        <v>3.87</v>
      </c>
      <c r="M84" s="50">
        <f t="shared" si="21"/>
        <v>116.1</v>
      </c>
      <c r="N84" s="102">
        <f t="shared" si="24"/>
        <v>1161</v>
      </c>
      <c r="O84" s="102">
        <f t="shared" si="25"/>
        <v>162.54</v>
      </c>
      <c r="P84" s="102">
        <f t="shared" si="26"/>
        <v>174.15</v>
      </c>
      <c r="Q84" s="103">
        <f t="shared" si="27"/>
        <v>1497.69</v>
      </c>
    </row>
    <row r="85" spans="1:17" s="56" customFormat="1">
      <c r="A85" s="303">
        <v>72</v>
      </c>
      <c r="B85" s="238"/>
      <c r="C85" s="224" t="s">
        <v>285</v>
      </c>
      <c r="D85" s="224" t="s">
        <v>288</v>
      </c>
      <c r="E85" s="219" t="s">
        <v>251</v>
      </c>
      <c r="F85" s="311">
        <v>240</v>
      </c>
      <c r="G85" s="240">
        <v>0.3</v>
      </c>
      <c r="H85" s="240">
        <v>10</v>
      </c>
      <c r="I85" s="694">
        <v>3</v>
      </c>
      <c r="J85" s="694">
        <v>0.72</v>
      </c>
      <c r="K85" s="377">
        <f t="shared" si="22"/>
        <v>0.44999999999999996</v>
      </c>
      <c r="L85" s="102">
        <f t="shared" si="23"/>
        <v>4.17</v>
      </c>
      <c r="M85" s="50">
        <f t="shared" si="21"/>
        <v>72</v>
      </c>
      <c r="N85" s="102">
        <f t="shared" si="24"/>
        <v>720</v>
      </c>
      <c r="O85" s="102">
        <f t="shared" si="25"/>
        <v>172.8</v>
      </c>
      <c r="P85" s="102">
        <f t="shared" si="26"/>
        <v>108</v>
      </c>
      <c r="Q85" s="103">
        <f t="shared" si="27"/>
        <v>1000.8</v>
      </c>
    </row>
    <row r="86" spans="1:17" s="56" customFormat="1">
      <c r="A86" s="695">
        <v>73</v>
      </c>
      <c r="B86" s="238"/>
      <c r="C86" s="224" t="s">
        <v>285</v>
      </c>
      <c r="D86" s="224" t="s">
        <v>289</v>
      </c>
      <c r="E86" s="219" t="s">
        <v>251</v>
      </c>
      <c r="F86" s="311">
        <v>300</v>
      </c>
      <c r="G86" s="240">
        <v>0.3</v>
      </c>
      <c r="H86" s="240">
        <v>10</v>
      </c>
      <c r="I86" s="694">
        <v>3</v>
      </c>
      <c r="J86" s="694">
        <v>0.84</v>
      </c>
      <c r="K86" s="377">
        <f t="shared" si="22"/>
        <v>0.44999999999999996</v>
      </c>
      <c r="L86" s="102">
        <f t="shared" si="23"/>
        <v>4.29</v>
      </c>
      <c r="M86" s="50">
        <f t="shared" si="21"/>
        <v>90</v>
      </c>
      <c r="N86" s="102">
        <f t="shared" si="24"/>
        <v>900</v>
      </c>
      <c r="O86" s="102">
        <f t="shared" si="25"/>
        <v>252</v>
      </c>
      <c r="P86" s="102">
        <f t="shared" si="26"/>
        <v>135</v>
      </c>
      <c r="Q86" s="103">
        <f t="shared" si="27"/>
        <v>1287</v>
      </c>
    </row>
    <row r="87" spans="1:17" s="56" customFormat="1">
      <c r="A87" s="303">
        <v>74</v>
      </c>
      <c r="B87" s="238"/>
      <c r="C87" s="224" t="s">
        <v>290</v>
      </c>
      <c r="D87" s="224" t="s">
        <v>291</v>
      </c>
      <c r="E87" s="219" t="s">
        <v>251</v>
      </c>
      <c r="F87" s="311">
        <v>5</v>
      </c>
      <c r="G87" s="240">
        <v>0.35</v>
      </c>
      <c r="H87" s="240">
        <v>10</v>
      </c>
      <c r="I87" s="694">
        <v>3.5</v>
      </c>
      <c r="J87" s="694">
        <v>2.79</v>
      </c>
      <c r="K87" s="377">
        <f t="shared" si="22"/>
        <v>0.52500000000000002</v>
      </c>
      <c r="L87" s="102">
        <f t="shared" si="23"/>
        <v>6.8150000000000004</v>
      </c>
      <c r="M87" s="50">
        <f t="shared" si="21"/>
        <v>1.75</v>
      </c>
      <c r="N87" s="102">
        <f t="shared" si="24"/>
        <v>17.5</v>
      </c>
      <c r="O87" s="102">
        <f t="shared" si="25"/>
        <v>13.95</v>
      </c>
      <c r="P87" s="102">
        <f t="shared" si="26"/>
        <v>2.63</v>
      </c>
      <c r="Q87" s="103">
        <f t="shared" si="27"/>
        <v>34.08</v>
      </c>
    </row>
    <row r="88" spans="1:17" s="56" customFormat="1">
      <c r="A88" s="695">
        <v>75</v>
      </c>
      <c r="B88" s="238"/>
      <c r="C88" s="224" t="s">
        <v>290</v>
      </c>
      <c r="D88" s="224" t="s">
        <v>292</v>
      </c>
      <c r="E88" s="219" t="s">
        <v>251</v>
      </c>
      <c r="F88" s="311">
        <v>80</v>
      </c>
      <c r="G88" s="240">
        <v>0.35</v>
      </c>
      <c r="H88" s="240">
        <v>10</v>
      </c>
      <c r="I88" s="694">
        <v>3.5</v>
      </c>
      <c r="J88" s="694">
        <v>3.09</v>
      </c>
      <c r="K88" s="377">
        <f t="shared" si="22"/>
        <v>0.52500000000000002</v>
      </c>
      <c r="L88" s="102">
        <f t="shared" si="23"/>
        <v>7.1150000000000002</v>
      </c>
      <c r="M88" s="50">
        <f t="shared" si="21"/>
        <v>28</v>
      </c>
      <c r="N88" s="102">
        <f t="shared" si="24"/>
        <v>280</v>
      </c>
      <c r="O88" s="102">
        <f t="shared" si="25"/>
        <v>247.2</v>
      </c>
      <c r="P88" s="102">
        <f t="shared" si="26"/>
        <v>42</v>
      </c>
      <c r="Q88" s="103">
        <f t="shared" si="27"/>
        <v>569.20000000000005</v>
      </c>
    </row>
    <row r="89" spans="1:17" s="56" customFormat="1">
      <c r="A89" s="303">
        <v>76</v>
      </c>
      <c r="B89" s="238"/>
      <c r="C89" s="224" t="s">
        <v>290</v>
      </c>
      <c r="D89" s="224" t="s">
        <v>293</v>
      </c>
      <c r="E89" s="219" t="s">
        <v>251</v>
      </c>
      <c r="F89" s="311">
        <v>150</v>
      </c>
      <c r="G89" s="240">
        <v>0.35</v>
      </c>
      <c r="H89" s="240">
        <v>10</v>
      </c>
      <c r="I89" s="694">
        <v>3.5</v>
      </c>
      <c r="J89" s="694">
        <v>4.68</v>
      </c>
      <c r="K89" s="377">
        <f t="shared" si="22"/>
        <v>0.52500000000000002</v>
      </c>
      <c r="L89" s="102">
        <f t="shared" si="23"/>
        <v>8.7050000000000001</v>
      </c>
      <c r="M89" s="50">
        <f t="shared" si="21"/>
        <v>52.5</v>
      </c>
      <c r="N89" s="102">
        <f t="shared" si="24"/>
        <v>525</v>
      </c>
      <c r="O89" s="102">
        <f t="shared" si="25"/>
        <v>702</v>
      </c>
      <c r="P89" s="102">
        <f t="shared" si="26"/>
        <v>78.75</v>
      </c>
      <c r="Q89" s="103">
        <f t="shared" si="27"/>
        <v>1305.75</v>
      </c>
    </row>
    <row r="90" spans="1:17" s="56" customFormat="1">
      <c r="A90" s="695">
        <v>77</v>
      </c>
      <c r="B90" s="238"/>
      <c r="C90" s="224" t="s">
        <v>290</v>
      </c>
      <c r="D90" s="224" t="s">
        <v>294</v>
      </c>
      <c r="E90" s="219" t="s">
        <v>251</v>
      </c>
      <c r="F90" s="311">
        <v>55</v>
      </c>
      <c r="G90" s="240">
        <v>0.35</v>
      </c>
      <c r="H90" s="240">
        <v>10</v>
      </c>
      <c r="I90" s="694">
        <v>3.4</v>
      </c>
      <c r="J90" s="694">
        <v>4.75</v>
      </c>
      <c r="K90" s="377">
        <f t="shared" si="22"/>
        <v>0.51</v>
      </c>
      <c r="L90" s="102">
        <f t="shared" si="23"/>
        <v>8.66</v>
      </c>
      <c r="M90" s="50">
        <f t="shared" si="21"/>
        <v>19.25</v>
      </c>
      <c r="N90" s="102">
        <f t="shared" si="24"/>
        <v>187</v>
      </c>
      <c r="O90" s="102">
        <f t="shared" si="25"/>
        <v>261.25</v>
      </c>
      <c r="P90" s="102">
        <f t="shared" si="26"/>
        <v>28.05</v>
      </c>
      <c r="Q90" s="103">
        <f t="shared" si="27"/>
        <v>476.3</v>
      </c>
    </row>
    <row r="91" spans="1:17" s="56" customFormat="1">
      <c r="A91" s="303">
        <v>78</v>
      </c>
      <c r="B91" s="238"/>
      <c r="C91" s="224" t="s">
        <v>290</v>
      </c>
      <c r="D91" s="224" t="s">
        <v>295</v>
      </c>
      <c r="E91" s="219" t="s">
        <v>251</v>
      </c>
      <c r="F91" s="311">
        <v>45</v>
      </c>
      <c r="G91" s="240">
        <v>0.35</v>
      </c>
      <c r="H91" s="240">
        <v>10</v>
      </c>
      <c r="I91" s="694">
        <v>3.5</v>
      </c>
      <c r="J91" s="694">
        <v>5.07</v>
      </c>
      <c r="K91" s="377">
        <f t="shared" si="22"/>
        <v>0.52500000000000002</v>
      </c>
      <c r="L91" s="102">
        <f t="shared" si="23"/>
        <v>9.0950000000000006</v>
      </c>
      <c r="M91" s="50">
        <f t="shared" si="21"/>
        <v>15.75</v>
      </c>
      <c r="N91" s="102">
        <f t="shared" si="24"/>
        <v>157.5</v>
      </c>
      <c r="O91" s="102">
        <f t="shared" si="25"/>
        <v>228.15</v>
      </c>
      <c r="P91" s="102">
        <f t="shared" si="26"/>
        <v>23.63</v>
      </c>
      <c r="Q91" s="103">
        <f t="shared" si="27"/>
        <v>409.28</v>
      </c>
    </row>
    <row r="92" spans="1:17" s="56" customFormat="1">
      <c r="A92" s="695">
        <v>79</v>
      </c>
      <c r="B92" s="238"/>
      <c r="C92" s="224" t="s">
        <v>290</v>
      </c>
      <c r="D92" s="224" t="s">
        <v>296</v>
      </c>
      <c r="E92" s="219" t="s">
        <v>251</v>
      </c>
      <c r="F92" s="311">
        <v>20</v>
      </c>
      <c r="G92" s="240">
        <v>0.35</v>
      </c>
      <c r="H92" s="240">
        <v>10</v>
      </c>
      <c r="I92" s="694">
        <v>3.5</v>
      </c>
      <c r="J92" s="694">
        <v>5.12</v>
      </c>
      <c r="K92" s="377">
        <f t="shared" si="22"/>
        <v>0.52500000000000002</v>
      </c>
      <c r="L92" s="102">
        <f t="shared" si="23"/>
        <v>9.1450000000000014</v>
      </c>
      <c r="M92" s="50">
        <f t="shared" si="21"/>
        <v>7</v>
      </c>
      <c r="N92" s="102">
        <f t="shared" si="24"/>
        <v>70</v>
      </c>
      <c r="O92" s="102">
        <f t="shared" si="25"/>
        <v>102.4</v>
      </c>
      <c r="P92" s="102">
        <f t="shared" si="26"/>
        <v>10.5</v>
      </c>
      <c r="Q92" s="103">
        <f t="shared" si="27"/>
        <v>182.9</v>
      </c>
    </row>
    <row r="93" spans="1:17" s="56" customFormat="1">
      <c r="A93" s="303">
        <v>80</v>
      </c>
      <c r="B93" s="238"/>
      <c r="C93" s="224" t="s">
        <v>290</v>
      </c>
      <c r="D93" s="224" t="s">
        <v>297</v>
      </c>
      <c r="E93" s="219" t="s">
        <v>251</v>
      </c>
      <c r="F93" s="311">
        <v>25</v>
      </c>
      <c r="G93" s="240">
        <v>0.35</v>
      </c>
      <c r="H93" s="240">
        <v>10</v>
      </c>
      <c r="I93" s="694">
        <v>3.5</v>
      </c>
      <c r="J93" s="694">
        <v>5.65</v>
      </c>
      <c r="K93" s="377">
        <f t="shared" si="22"/>
        <v>0.52500000000000002</v>
      </c>
      <c r="L93" s="102">
        <f t="shared" si="23"/>
        <v>9.6750000000000007</v>
      </c>
      <c r="M93" s="50">
        <f t="shared" si="21"/>
        <v>8.75</v>
      </c>
      <c r="N93" s="102">
        <f t="shared" si="24"/>
        <v>87.5</v>
      </c>
      <c r="O93" s="102">
        <f t="shared" si="25"/>
        <v>141.25</v>
      </c>
      <c r="P93" s="102">
        <f t="shared" si="26"/>
        <v>13.13</v>
      </c>
      <c r="Q93" s="103">
        <f t="shared" si="27"/>
        <v>241.88</v>
      </c>
    </row>
    <row r="94" spans="1:17" s="56" customFormat="1">
      <c r="A94" s="695">
        <v>81</v>
      </c>
      <c r="B94" s="238"/>
      <c r="C94" s="224" t="s">
        <v>290</v>
      </c>
      <c r="D94" s="224" t="s">
        <v>298</v>
      </c>
      <c r="E94" s="219" t="s">
        <v>251</v>
      </c>
      <c r="F94" s="311">
        <v>35</v>
      </c>
      <c r="G94" s="240">
        <v>0.35</v>
      </c>
      <c r="H94" s="240">
        <v>10</v>
      </c>
      <c r="I94" s="694">
        <v>3.5</v>
      </c>
      <c r="J94" s="694">
        <v>5.96</v>
      </c>
      <c r="K94" s="377">
        <f t="shared" si="22"/>
        <v>0.52500000000000002</v>
      </c>
      <c r="L94" s="102">
        <f t="shared" si="23"/>
        <v>9.9850000000000012</v>
      </c>
      <c r="M94" s="50">
        <f t="shared" si="21"/>
        <v>12.25</v>
      </c>
      <c r="N94" s="102">
        <f t="shared" si="24"/>
        <v>122.5</v>
      </c>
      <c r="O94" s="102">
        <f t="shared" si="25"/>
        <v>208.6</v>
      </c>
      <c r="P94" s="102">
        <f t="shared" si="26"/>
        <v>18.38</v>
      </c>
      <c r="Q94" s="103">
        <f t="shared" si="27"/>
        <v>349.48</v>
      </c>
    </row>
    <row r="95" spans="1:17" s="56" customFormat="1">
      <c r="A95" s="303">
        <v>82</v>
      </c>
      <c r="B95" s="238"/>
      <c r="C95" s="224" t="s">
        <v>290</v>
      </c>
      <c r="D95" s="224" t="s">
        <v>299</v>
      </c>
      <c r="E95" s="219" t="s">
        <v>251</v>
      </c>
      <c r="F95" s="311">
        <v>175</v>
      </c>
      <c r="G95" s="240">
        <v>0.35</v>
      </c>
      <c r="H95" s="240">
        <v>10</v>
      </c>
      <c r="I95" s="694">
        <v>3.5</v>
      </c>
      <c r="J95" s="694">
        <v>6.3</v>
      </c>
      <c r="K95" s="377">
        <f t="shared" si="22"/>
        <v>0.52500000000000002</v>
      </c>
      <c r="L95" s="102">
        <f t="shared" si="23"/>
        <v>10.325000000000001</v>
      </c>
      <c r="M95" s="50">
        <f t="shared" si="21"/>
        <v>61.25</v>
      </c>
      <c r="N95" s="102">
        <f t="shared" si="24"/>
        <v>612.5</v>
      </c>
      <c r="O95" s="102">
        <f t="shared" si="25"/>
        <v>1102.5</v>
      </c>
      <c r="P95" s="102">
        <f t="shared" si="26"/>
        <v>91.88</v>
      </c>
      <c r="Q95" s="103">
        <f t="shared" si="27"/>
        <v>1806.88</v>
      </c>
    </row>
    <row r="96" spans="1:17" s="56" customFormat="1">
      <c r="A96" s="695">
        <v>83</v>
      </c>
      <c r="B96" s="238"/>
      <c r="C96" s="224" t="s">
        <v>300</v>
      </c>
      <c r="D96" s="224"/>
      <c r="E96" s="219" t="s">
        <v>136</v>
      </c>
      <c r="F96" s="311">
        <v>1</v>
      </c>
      <c r="G96" s="240">
        <v>0.66</v>
      </c>
      <c r="H96" s="240">
        <v>10</v>
      </c>
      <c r="I96" s="694">
        <v>6.6</v>
      </c>
      <c r="J96" s="694">
        <v>225</v>
      </c>
      <c r="K96" s="377">
        <f t="shared" si="22"/>
        <v>0.98999999999999988</v>
      </c>
      <c r="L96" s="102">
        <f t="shared" si="23"/>
        <v>232.59</v>
      </c>
      <c r="M96" s="50">
        <f t="shared" si="21"/>
        <v>0.66</v>
      </c>
      <c r="N96" s="102">
        <f t="shared" si="24"/>
        <v>6.6</v>
      </c>
      <c r="O96" s="102">
        <f t="shared" si="25"/>
        <v>225</v>
      </c>
      <c r="P96" s="102">
        <f t="shared" si="26"/>
        <v>0.99</v>
      </c>
      <c r="Q96" s="103">
        <f t="shared" si="27"/>
        <v>232.59</v>
      </c>
    </row>
    <row r="97" spans="1:17" s="56" customFormat="1">
      <c r="A97" s="303">
        <v>84</v>
      </c>
      <c r="B97" s="238"/>
      <c r="C97" s="224" t="s">
        <v>301</v>
      </c>
      <c r="D97" s="224"/>
      <c r="E97" s="219" t="s">
        <v>136</v>
      </c>
      <c r="F97" s="311">
        <v>1</v>
      </c>
      <c r="G97" s="240">
        <v>0.66</v>
      </c>
      <c r="H97" s="240">
        <v>10</v>
      </c>
      <c r="I97" s="694">
        <v>6.6</v>
      </c>
      <c r="J97" s="694">
        <v>240</v>
      </c>
      <c r="K97" s="377">
        <f t="shared" si="22"/>
        <v>0.98999999999999988</v>
      </c>
      <c r="L97" s="102">
        <f t="shared" si="23"/>
        <v>247.59</v>
      </c>
      <c r="M97" s="50">
        <f t="shared" si="21"/>
        <v>0.66</v>
      </c>
      <c r="N97" s="102">
        <f t="shared" si="24"/>
        <v>6.6</v>
      </c>
      <c r="O97" s="102">
        <f t="shared" si="25"/>
        <v>240</v>
      </c>
      <c r="P97" s="102">
        <f t="shared" si="26"/>
        <v>0.99</v>
      </c>
      <c r="Q97" s="103">
        <f t="shared" si="27"/>
        <v>247.59</v>
      </c>
    </row>
    <row r="98" spans="1:17" s="56" customFormat="1">
      <c r="A98" s="695">
        <v>85</v>
      </c>
      <c r="B98" s="238"/>
      <c r="C98" s="224" t="s">
        <v>302</v>
      </c>
      <c r="D98" s="224"/>
      <c r="E98" s="219" t="s">
        <v>136</v>
      </c>
      <c r="F98" s="311">
        <v>1</v>
      </c>
      <c r="G98" s="240">
        <v>9.8000000000000007</v>
      </c>
      <c r="H98" s="240">
        <v>10</v>
      </c>
      <c r="I98" s="694">
        <v>98</v>
      </c>
      <c r="J98" s="694">
        <v>188</v>
      </c>
      <c r="K98" s="377">
        <f t="shared" si="22"/>
        <v>14.7</v>
      </c>
      <c r="L98" s="102">
        <f t="shared" si="23"/>
        <v>300.7</v>
      </c>
      <c r="M98" s="50">
        <f t="shared" si="21"/>
        <v>9.8000000000000007</v>
      </c>
      <c r="N98" s="102">
        <f t="shared" si="24"/>
        <v>98</v>
      </c>
      <c r="O98" s="102">
        <f t="shared" si="25"/>
        <v>188</v>
      </c>
      <c r="P98" s="102">
        <f t="shared" si="26"/>
        <v>14.7</v>
      </c>
      <c r="Q98" s="103">
        <f t="shared" si="27"/>
        <v>300.7</v>
      </c>
    </row>
    <row r="99" spans="1:17" s="56" customFormat="1">
      <c r="A99" s="303">
        <v>86</v>
      </c>
      <c r="B99" s="238"/>
      <c r="C99" s="224" t="s">
        <v>303</v>
      </c>
      <c r="D99" s="224"/>
      <c r="E99" s="219" t="s">
        <v>136</v>
      </c>
      <c r="F99" s="311">
        <v>1</v>
      </c>
      <c r="G99" s="240">
        <v>0.5</v>
      </c>
      <c r="H99" s="240">
        <v>10</v>
      </c>
      <c r="I99" s="694">
        <v>5</v>
      </c>
      <c r="J99" s="694">
        <v>140</v>
      </c>
      <c r="K99" s="377">
        <f t="shared" si="22"/>
        <v>0.75</v>
      </c>
      <c r="L99" s="102">
        <f t="shared" si="23"/>
        <v>145.75</v>
      </c>
      <c r="M99" s="50">
        <f t="shared" si="21"/>
        <v>0.5</v>
      </c>
      <c r="N99" s="102">
        <f t="shared" si="24"/>
        <v>5</v>
      </c>
      <c r="O99" s="102">
        <f t="shared" si="25"/>
        <v>140</v>
      </c>
      <c r="P99" s="102">
        <f t="shared" si="26"/>
        <v>0.75</v>
      </c>
      <c r="Q99" s="103">
        <f t="shared" si="27"/>
        <v>145.75</v>
      </c>
    </row>
    <row r="100" spans="1:17" s="56" customFormat="1">
      <c r="A100" s="695">
        <v>87</v>
      </c>
      <c r="B100" s="238"/>
      <c r="C100" s="224" t="s">
        <v>304</v>
      </c>
      <c r="D100" s="224"/>
      <c r="E100" s="219" t="s">
        <v>136</v>
      </c>
      <c r="F100" s="311">
        <v>1</v>
      </c>
      <c r="G100" s="240">
        <v>15</v>
      </c>
      <c r="H100" s="240">
        <v>10</v>
      </c>
      <c r="I100" s="694">
        <v>150</v>
      </c>
      <c r="J100" s="694">
        <v>185</v>
      </c>
      <c r="K100" s="377">
        <f t="shared" si="22"/>
        <v>22.5</v>
      </c>
      <c r="L100" s="102">
        <f t="shared" si="23"/>
        <v>357.5</v>
      </c>
      <c r="M100" s="50">
        <f t="shared" si="21"/>
        <v>15</v>
      </c>
      <c r="N100" s="102">
        <f t="shared" si="24"/>
        <v>150</v>
      </c>
      <c r="O100" s="102">
        <f t="shared" si="25"/>
        <v>185</v>
      </c>
      <c r="P100" s="102">
        <f t="shared" si="26"/>
        <v>22.5</v>
      </c>
      <c r="Q100" s="103">
        <f t="shared" si="27"/>
        <v>357.5</v>
      </c>
    </row>
    <row r="101" spans="1:17" s="56" customFormat="1">
      <c r="A101" s="303">
        <v>88</v>
      </c>
      <c r="B101" s="238"/>
      <c r="C101" s="224" t="s">
        <v>305</v>
      </c>
      <c r="D101" s="224"/>
      <c r="E101" s="219" t="s">
        <v>136</v>
      </c>
      <c r="F101" s="311">
        <v>1</v>
      </c>
      <c r="G101" s="240">
        <v>3</v>
      </c>
      <c r="H101" s="240">
        <v>10</v>
      </c>
      <c r="I101" s="694">
        <v>30</v>
      </c>
      <c r="J101" s="694">
        <v>110</v>
      </c>
      <c r="K101" s="377">
        <f t="shared" si="22"/>
        <v>4.5</v>
      </c>
      <c r="L101" s="102">
        <f t="shared" si="23"/>
        <v>144.5</v>
      </c>
      <c r="M101" s="50">
        <f t="shared" si="21"/>
        <v>3</v>
      </c>
      <c r="N101" s="102">
        <f t="shared" si="24"/>
        <v>30</v>
      </c>
      <c r="O101" s="102">
        <f t="shared" si="25"/>
        <v>110</v>
      </c>
      <c r="P101" s="102">
        <f t="shared" si="26"/>
        <v>4.5</v>
      </c>
      <c r="Q101" s="103">
        <f t="shared" si="27"/>
        <v>144.5</v>
      </c>
    </row>
    <row r="102" spans="1:17" s="56" customFormat="1">
      <c r="A102" s="695">
        <v>89</v>
      </c>
      <c r="B102" s="238"/>
      <c r="C102" s="224" t="s">
        <v>306</v>
      </c>
      <c r="D102" s="224"/>
      <c r="E102" s="219" t="s">
        <v>136</v>
      </c>
      <c r="F102" s="311">
        <v>1</v>
      </c>
      <c r="G102" s="240">
        <v>31</v>
      </c>
      <c r="H102" s="240">
        <v>10</v>
      </c>
      <c r="I102" s="694">
        <v>310</v>
      </c>
      <c r="J102" s="694">
        <v>150</v>
      </c>
      <c r="K102" s="377">
        <f t="shared" si="22"/>
        <v>46.5</v>
      </c>
      <c r="L102" s="102">
        <f t="shared" si="23"/>
        <v>506.5</v>
      </c>
      <c r="M102" s="50">
        <f t="shared" si="21"/>
        <v>31</v>
      </c>
      <c r="N102" s="102">
        <f t="shared" si="24"/>
        <v>310</v>
      </c>
      <c r="O102" s="102">
        <f t="shared" si="25"/>
        <v>150</v>
      </c>
      <c r="P102" s="102">
        <f t="shared" si="26"/>
        <v>46.5</v>
      </c>
      <c r="Q102" s="103">
        <f t="shared" si="27"/>
        <v>506.5</v>
      </c>
    </row>
    <row r="103" spans="1:17" s="56" customFormat="1" ht="24.9">
      <c r="A103" s="303">
        <v>90</v>
      </c>
      <c r="B103" s="238"/>
      <c r="C103" s="224" t="s">
        <v>307</v>
      </c>
      <c r="D103" s="224" t="s">
        <v>308</v>
      </c>
      <c r="E103" s="219" t="s">
        <v>136</v>
      </c>
      <c r="F103" s="311">
        <v>1</v>
      </c>
      <c r="G103" s="240">
        <v>0.8</v>
      </c>
      <c r="H103" s="240">
        <v>10</v>
      </c>
      <c r="I103" s="694">
        <v>8</v>
      </c>
      <c r="J103" s="694">
        <v>12</v>
      </c>
      <c r="K103" s="377">
        <f t="shared" si="22"/>
        <v>1.2</v>
      </c>
      <c r="L103" s="102">
        <f t="shared" si="23"/>
        <v>21.2</v>
      </c>
      <c r="M103" s="50">
        <f t="shared" si="21"/>
        <v>0.8</v>
      </c>
      <c r="N103" s="102">
        <f t="shared" si="24"/>
        <v>8</v>
      </c>
      <c r="O103" s="102">
        <f t="shared" si="25"/>
        <v>12</v>
      </c>
      <c r="P103" s="102">
        <f t="shared" si="26"/>
        <v>1.2</v>
      </c>
      <c r="Q103" s="103">
        <f t="shared" si="27"/>
        <v>21.2</v>
      </c>
    </row>
    <row r="104" spans="1:17" s="56" customFormat="1" ht="24.9">
      <c r="A104" s="695">
        <v>91</v>
      </c>
      <c r="B104" s="238"/>
      <c r="C104" s="224" t="s">
        <v>309</v>
      </c>
      <c r="D104" s="224"/>
      <c r="E104" s="219" t="s">
        <v>136</v>
      </c>
      <c r="F104" s="311">
        <v>1</v>
      </c>
      <c r="G104" s="240">
        <v>20</v>
      </c>
      <c r="H104" s="240">
        <v>10</v>
      </c>
      <c r="I104" s="694">
        <v>200</v>
      </c>
      <c r="J104" s="694"/>
      <c r="K104" s="694">
        <v>40</v>
      </c>
      <c r="L104" s="102">
        <f t="shared" si="23"/>
        <v>240</v>
      </c>
      <c r="M104" s="50">
        <f t="shared" si="21"/>
        <v>20</v>
      </c>
      <c r="N104" s="102">
        <f t="shared" si="24"/>
        <v>200</v>
      </c>
      <c r="O104" s="102">
        <f t="shared" si="25"/>
        <v>0</v>
      </c>
      <c r="P104" s="102">
        <f t="shared" si="26"/>
        <v>40</v>
      </c>
      <c r="Q104" s="103">
        <f t="shared" si="27"/>
        <v>240</v>
      </c>
    </row>
    <row r="105" spans="1:17" s="56" customFormat="1">
      <c r="A105" s="245"/>
      <c r="B105" s="226"/>
      <c r="C105" s="246"/>
      <c r="D105" s="246"/>
      <c r="E105" s="247"/>
      <c r="F105" s="230"/>
      <c r="G105" s="248"/>
      <c r="H105" s="248"/>
      <c r="I105" s="230"/>
      <c r="J105" s="230"/>
      <c r="K105" s="230"/>
      <c r="L105" s="230"/>
      <c r="M105" s="248"/>
      <c r="N105" s="230"/>
      <c r="O105" s="230"/>
      <c r="P105" s="230"/>
      <c r="Q105" s="249"/>
    </row>
    <row r="106" spans="1:17" ht="15.05" customHeight="1">
      <c r="A106" s="206"/>
      <c r="B106" s="206"/>
      <c r="C106" s="951" t="s">
        <v>99</v>
      </c>
      <c r="D106" s="951"/>
      <c r="E106" s="952"/>
      <c r="F106" s="952"/>
      <c r="G106" s="952"/>
      <c r="H106" s="952"/>
      <c r="I106" s="952"/>
      <c r="J106" s="952"/>
      <c r="K106" s="952"/>
      <c r="L106" s="952"/>
      <c r="M106" s="208">
        <f>SUM(M13:M105)</f>
        <v>2430.1100000000006</v>
      </c>
      <c r="N106" s="208">
        <f>SUM(N13:N105)</f>
        <v>24339.539999999997</v>
      </c>
      <c r="O106" s="208">
        <f>SUM(O13:O105)</f>
        <v>48464.169999999984</v>
      </c>
      <c r="P106" s="208">
        <f>SUM(P13:P105)</f>
        <v>3660.9999999999986</v>
      </c>
      <c r="Q106" s="208">
        <f>SUM(Q13:Q105)</f>
        <v>76464.709999999992</v>
      </c>
    </row>
    <row r="107" spans="1:17" s="125" customFormat="1" collapsed="1">
      <c r="J107" s="146"/>
    </row>
    <row r="108" spans="1:17" s="122" customFormat="1" ht="12.8" customHeight="1">
      <c r="B108" s="147" t="s">
        <v>54</v>
      </c>
    </row>
    <row r="109" spans="1:17" s="122" customFormat="1" ht="45" customHeight="1">
      <c r="A109"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09" s="926"/>
      <c r="C109" s="926"/>
      <c r="D109" s="926"/>
      <c r="E109" s="926"/>
      <c r="F109" s="926"/>
      <c r="G109" s="926"/>
      <c r="H109" s="926"/>
      <c r="I109" s="926"/>
      <c r="J109" s="926"/>
      <c r="K109" s="926"/>
      <c r="L109" s="926"/>
      <c r="M109" s="926"/>
      <c r="N109" s="926"/>
      <c r="O109" s="926"/>
      <c r="P109" s="926"/>
      <c r="Q109" s="926"/>
    </row>
    <row r="110" spans="1:17" s="122" customFormat="1" ht="77.25" customHeight="1">
      <c r="A110" s="925"/>
      <c r="B110" s="925"/>
      <c r="C110" s="925"/>
      <c r="D110" s="925"/>
      <c r="E110" s="925"/>
      <c r="F110" s="925"/>
      <c r="G110" s="925"/>
      <c r="H110" s="925"/>
      <c r="I110" s="925"/>
      <c r="J110" s="925"/>
      <c r="K110" s="925"/>
      <c r="L110" s="925"/>
      <c r="M110" s="925"/>
      <c r="N110" s="925"/>
      <c r="O110" s="925"/>
      <c r="P110" s="925"/>
      <c r="Q110" s="925"/>
    </row>
    <row r="111" spans="1:17" s="122" customFormat="1" ht="12.8" customHeight="1">
      <c r="B111" s="148"/>
    </row>
    <row r="112" spans="1:17" s="122" customFormat="1" ht="12.8" customHeight="1">
      <c r="B112" s="148"/>
    </row>
    <row r="113" spans="2:17" s="125" customFormat="1">
      <c r="B113" s="125" t="s">
        <v>8</v>
      </c>
      <c r="M113" s="157" t="str">
        <f>Koptame!B39</f>
        <v>Pārbaudīja:</v>
      </c>
      <c r="N113" s="157"/>
      <c r="O113" s="157"/>
      <c r="P113" s="157"/>
      <c r="Q113" s="157"/>
    </row>
    <row r="114" spans="2:17" s="125" customFormat="1" ht="14.25" customHeight="1">
      <c r="C114" s="182" t="str">
        <f>Koptame!C34</f>
        <v>Arnis Gailītis</v>
      </c>
      <c r="D114" s="191"/>
      <c r="M114" s="182"/>
      <c r="N114" s="922" t="str">
        <f>Koptame!C40</f>
        <v>Dzintra Cīrule</v>
      </c>
      <c r="O114" s="922"/>
      <c r="P114" s="157"/>
      <c r="Q114" s="157"/>
    </row>
    <row r="115" spans="2:17" s="125" customFormat="1">
      <c r="C115" s="183" t="str">
        <f>Koptame!C35</f>
        <v>Sertifikāta Nr.20-5643</v>
      </c>
      <c r="D115" s="192"/>
      <c r="M115" s="183"/>
      <c r="N115" s="923" t="str">
        <f>Koptame!C41</f>
        <v>Sertifikāta Nr.10-0363</v>
      </c>
      <c r="O115" s="923"/>
      <c r="P115" s="157"/>
      <c r="Q115" s="157"/>
    </row>
    <row r="116" spans="2:17" s="125" customFormat="1" collapsed="1">
      <c r="B116" s="146"/>
      <c r="G116" s="146"/>
      <c r="H116" s="146"/>
    </row>
    <row r="117" spans="2:17">
      <c r="B117" s="56"/>
      <c r="G117" s="56"/>
      <c r="H117" s="56"/>
      <c r="J117" s="19"/>
    </row>
    <row r="118" spans="2:17">
      <c r="B118" s="56"/>
      <c r="G118" s="56"/>
      <c r="H118" s="56"/>
      <c r="J118" s="19"/>
    </row>
  </sheetData>
  <mergeCells count="18">
    <mergeCell ref="N115:O115"/>
    <mergeCell ref="G11:L11"/>
    <mergeCell ref="M11:Q11"/>
    <mergeCell ref="C106:L106"/>
    <mergeCell ref="N114:O114"/>
    <mergeCell ref="A110:Q110"/>
    <mergeCell ref="A109:Q109"/>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R155"/>
  <sheetViews>
    <sheetView showZeros="0" view="pageBreakPreview" topLeftCell="A7" zoomScale="90" zoomScaleNormal="100" zoomScaleSheetLayoutView="90" workbookViewId="0">
      <selection activeCell="L23" sqref="L23"/>
    </sheetView>
  </sheetViews>
  <sheetFormatPr defaultColWidth="9.125" defaultRowHeight="14.4"/>
  <cols>
    <col min="1" max="1" width="9" style="19" customWidth="1"/>
    <col min="2" max="2" width="9.375" style="19" customWidth="1"/>
    <col min="3" max="3" width="40.25" style="19" customWidth="1"/>
    <col min="4" max="4" width="16" style="1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8" s="24" customFormat="1">
      <c r="F1" s="21"/>
      <c r="G1" s="21"/>
      <c r="H1" s="181" t="s">
        <v>92</v>
      </c>
      <c r="I1" s="110" t="str">
        <f>kops2!B24</f>
        <v>2,4</v>
      </c>
    </row>
    <row r="2" spans="1:18" s="24" customFormat="1">
      <c r="A2" s="919" t="str">
        <f>C13</f>
        <v>Ventilācija</v>
      </c>
      <c r="B2" s="919"/>
      <c r="C2" s="919"/>
      <c r="D2" s="919"/>
      <c r="E2" s="919"/>
      <c r="F2" s="919"/>
      <c r="G2" s="919"/>
      <c r="H2" s="919"/>
      <c r="I2" s="919"/>
      <c r="J2" s="919"/>
      <c r="K2" s="919"/>
      <c r="L2" s="919"/>
      <c r="M2" s="919"/>
      <c r="N2" s="919"/>
      <c r="O2" s="919"/>
      <c r="P2" s="919"/>
      <c r="Q2" s="919"/>
    </row>
    <row r="3" spans="1:18">
      <c r="A3" s="20"/>
      <c r="B3" s="20"/>
      <c r="C3" s="20" t="s">
        <v>11</v>
      </c>
      <c r="D3" s="20"/>
      <c r="E3" s="921" t="str">
        <f>Koptame!C11</f>
        <v>Ražošanas ēka</v>
      </c>
      <c r="F3" s="921"/>
      <c r="G3" s="921"/>
      <c r="H3" s="921"/>
      <c r="I3" s="921"/>
      <c r="J3" s="921"/>
      <c r="K3" s="921"/>
      <c r="L3" s="921"/>
      <c r="M3" s="921"/>
      <c r="N3" s="921"/>
      <c r="O3" s="921"/>
      <c r="P3" s="921"/>
      <c r="Q3" s="921"/>
    </row>
    <row r="4" spans="1:18">
      <c r="A4" s="20"/>
      <c r="B4" s="20"/>
      <c r="C4" s="20" t="s">
        <v>12</v>
      </c>
      <c r="D4" s="20"/>
      <c r="E4" s="921" t="str">
        <f>Koptame!C12</f>
        <v>Ražošanas ēkas Nr.7 jaunbūve</v>
      </c>
      <c r="F4" s="921"/>
      <c r="G4" s="921"/>
      <c r="H4" s="921"/>
      <c r="I4" s="921"/>
      <c r="J4" s="921"/>
      <c r="K4" s="921"/>
      <c r="L4" s="921"/>
      <c r="M4" s="921"/>
      <c r="N4" s="921"/>
      <c r="O4" s="921"/>
      <c r="P4" s="921"/>
      <c r="Q4" s="921"/>
    </row>
    <row r="5" spans="1:18">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8">
      <c r="A6" s="20"/>
      <c r="B6" s="20"/>
      <c r="C6" s="20" t="str">
        <f>Koptame!B14</f>
        <v>Pasūtījuma Nr.</v>
      </c>
      <c r="D6" s="20"/>
      <c r="E6" s="22" t="str">
        <f>Koptame!C14</f>
        <v>2016-04</v>
      </c>
      <c r="F6" s="43"/>
      <c r="G6" s="43"/>
      <c r="H6" s="43"/>
      <c r="I6" s="43"/>
      <c r="J6" s="43"/>
      <c r="K6" s="43"/>
      <c r="L6" s="43"/>
      <c r="M6" s="43"/>
      <c r="N6" s="43"/>
      <c r="O6" s="43"/>
      <c r="P6" s="43"/>
      <c r="Q6" s="25"/>
    </row>
    <row r="7" spans="1:18">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Q143</f>
        <v>338955.06000000029</v>
      </c>
    </row>
    <row r="8" spans="1:18">
      <c r="A8" s="23"/>
      <c r="B8" s="23"/>
      <c r="E8" s="27"/>
      <c r="F8" s="43"/>
      <c r="G8" s="43"/>
      <c r="H8" s="43"/>
      <c r="I8" s="43"/>
      <c r="J8" s="43"/>
      <c r="K8" s="43"/>
      <c r="L8" s="43"/>
      <c r="O8" s="43"/>
      <c r="P8" s="43"/>
      <c r="Q8" s="25"/>
    </row>
    <row r="9" spans="1:18" ht="15.05" customHeight="1">
      <c r="A9" s="45"/>
      <c r="B9" s="45"/>
      <c r="K9" s="44"/>
      <c r="L9" s="44"/>
      <c r="M9" s="920" t="str">
        <f>Koptame!D16</f>
        <v>Tāme sastādīta:  2018.gada 19. februāris</v>
      </c>
      <c r="N9" s="920"/>
      <c r="O9" s="920"/>
      <c r="P9" s="920"/>
      <c r="Q9" s="44"/>
    </row>
    <row r="10" spans="1:18" ht="15.05">
      <c r="A10" s="45"/>
      <c r="B10" s="45"/>
    </row>
    <row r="11" spans="1:18"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8"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8" ht="15.05">
      <c r="A13" s="209"/>
      <c r="B13" s="210">
        <v>0</v>
      </c>
      <c r="C13" s="949" t="str">
        <f>kops2!C24</f>
        <v>Ventilācija</v>
      </c>
      <c r="D13" s="950"/>
      <c r="E13" s="212"/>
      <c r="F13" s="213"/>
      <c r="G13" s="214">
        <v>0</v>
      </c>
      <c r="H13" s="215">
        <v>0</v>
      </c>
      <c r="I13" s="216">
        <v>0</v>
      </c>
      <c r="J13" s="215">
        <v>0</v>
      </c>
      <c r="K13" s="215">
        <v>0</v>
      </c>
      <c r="L13" s="215">
        <f t="shared" ref="L13" si="0">SUM(I13:K13)</f>
        <v>0</v>
      </c>
      <c r="M13" s="214">
        <f t="shared" ref="M13:M141" si="1">ROUND(G13*F13,2)</f>
        <v>0</v>
      </c>
      <c r="N13" s="215">
        <f t="shared" ref="N13" si="2">ROUND(I13*F13,2)</f>
        <v>0</v>
      </c>
      <c r="O13" s="215">
        <f t="shared" ref="O13" si="3">ROUND(J13*F13,2)</f>
        <v>0</v>
      </c>
      <c r="P13" s="215">
        <f t="shared" ref="P13" si="4">ROUND(K13*F13,2)</f>
        <v>0</v>
      </c>
      <c r="Q13" s="244">
        <f t="shared" ref="Q13" si="5">SUM(N13:P13)</f>
        <v>0</v>
      </c>
    </row>
    <row r="14" spans="1:18" s="56" customFormat="1" ht="136.80000000000001">
      <c r="A14" s="217">
        <v>1</v>
      </c>
      <c r="B14" s="238"/>
      <c r="C14" s="711" t="s">
        <v>1622</v>
      </c>
      <c r="D14" s="712" t="s">
        <v>1590</v>
      </c>
      <c r="E14" s="219" t="s">
        <v>136</v>
      </c>
      <c r="F14" s="311">
        <v>1</v>
      </c>
      <c r="G14" s="220">
        <v>180</v>
      </c>
      <c r="H14" s="220">
        <v>10</v>
      </c>
      <c r="I14" s="316">
        <v>1800</v>
      </c>
      <c r="J14" s="713">
        <v>24000</v>
      </c>
      <c r="K14" s="316">
        <v>270</v>
      </c>
      <c r="L14" s="102">
        <f t="shared" ref="L14:L141" si="6">SUM(I14:K14)</f>
        <v>26070</v>
      </c>
      <c r="M14" s="50">
        <f t="shared" si="1"/>
        <v>180</v>
      </c>
      <c r="N14" s="102">
        <f t="shared" ref="N14:N141" si="7">ROUND(I14*F14,2)</f>
        <v>1800</v>
      </c>
      <c r="O14" s="102">
        <f t="shared" ref="O14:O141" si="8">ROUND(J14*F14,2)</f>
        <v>24000</v>
      </c>
      <c r="P14" s="102">
        <f t="shared" ref="P14:P141" si="9">ROUND(K14*F14,2)</f>
        <v>270</v>
      </c>
      <c r="Q14" s="103">
        <f t="shared" ref="Q14:Q141" si="10">SUM(N14:P14)</f>
        <v>26070</v>
      </c>
      <c r="R14" s="804"/>
    </row>
    <row r="15" spans="1:18" s="56" customFormat="1" ht="136.80000000000001">
      <c r="A15" s="217">
        <v>2</v>
      </c>
      <c r="B15" s="238"/>
      <c r="C15" s="711" t="s">
        <v>1623</v>
      </c>
      <c r="D15" s="712" t="s">
        <v>1591</v>
      </c>
      <c r="E15" s="219" t="s">
        <v>136</v>
      </c>
      <c r="F15" s="311">
        <v>1</v>
      </c>
      <c r="G15" s="220">
        <v>160</v>
      </c>
      <c r="H15" s="220">
        <v>10</v>
      </c>
      <c r="I15" s="316">
        <v>1600</v>
      </c>
      <c r="J15" s="713">
        <v>18000</v>
      </c>
      <c r="K15" s="316">
        <v>240</v>
      </c>
      <c r="L15" s="102">
        <f t="shared" ref="L15:L77" si="11">SUM(I15:K15)</f>
        <v>19840</v>
      </c>
      <c r="M15" s="50">
        <f t="shared" ref="M15:M119" si="12">ROUND(G15*F15,2)</f>
        <v>160</v>
      </c>
      <c r="N15" s="102">
        <f t="shared" ref="N15:N119" si="13">ROUND(I15*F15,2)</f>
        <v>1600</v>
      </c>
      <c r="O15" s="102">
        <f t="shared" ref="O15:O119" si="14">ROUND(J15*F15,2)</f>
        <v>18000</v>
      </c>
      <c r="P15" s="102">
        <f t="shared" ref="P15:P119" si="15">ROUND(K15*F15,2)</f>
        <v>240</v>
      </c>
      <c r="Q15" s="103">
        <f t="shared" ref="Q15:Q119" si="16">SUM(N15:P15)</f>
        <v>19840</v>
      </c>
      <c r="R15" s="804"/>
    </row>
    <row r="16" spans="1:18" s="56" customFormat="1" ht="136.80000000000001">
      <c r="A16" s="217">
        <v>3</v>
      </c>
      <c r="B16" s="238"/>
      <c r="C16" s="711" t="s">
        <v>1624</v>
      </c>
      <c r="D16" s="712" t="s">
        <v>1592</v>
      </c>
      <c r="E16" s="219" t="s">
        <v>136</v>
      </c>
      <c r="F16" s="311">
        <v>1</v>
      </c>
      <c r="G16" s="220">
        <v>160</v>
      </c>
      <c r="H16" s="220">
        <v>10</v>
      </c>
      <c r="I16" s="316">
        <v>1600</v>
      </c>
      <c r="J16" s="713">
        <v>60000</v>
      </c>
      <c r="K16" s="316">
        <v>240</v>
      </c>
      <c r="L16" s="102">
        <f t="shared" si="11"/>
        <v>61840</v>
      </c>
      <c r="M16" s="50">
        <f t="shared" si="12"/>
        <v>160</v>
      </c>
      <c r="N16" s="102">
        <f t="shared" si="13"/>
        <v>1600</v>
      </c>
      <c r="O16" s="102">
        <f t="shared" si="14"/>
        <v>60000</v>
      </c>
      <c r="P16" s="102">
        <f t="shared" si="15"/>
        <v>240</v>
      </c>
      <c r="Q16" s="103">
        <f t="shared" si="16"/>
        <v>61840</v>
      </c>
      <c r="R16" s="804"/>
    </row>
    <row r="17" spans="1:18" s="56" customFormat="1" ht="164.95" customHeight="1">
      <c r="A17" s="217">
        <v>4</v>
      </c>
      <c r="B17" s="238"/>
      <c r="C17" s="711" t="s">
        <v>1625</v>
      </c>
      <c r="D17" s="712" t="s">
        <v>1593</v>
      </c>
      <c r="E17" s="219" t="s">
        <v>136</v>
      </c>
      <c r="F17" s="311">
        <v>1</v>
      </c>
      <c r="G17" s="714">
        <v>160</v>
      </c>
      <c r="H17" s="715">
        <v>10</v>
      </c>
      <c r="I17" s="640">
        <f t="shared" ref="I17" si="17">ROUND(G17*H17,2)</f>
        <v>1600</v>
      </c>
      <c r="J17" s="532">
        <v>52000</v>
      </c>
      <c r="K17" s="377">
        <f t="shared" ref="K17" si="18">I17*0.15</f>
        <v>240</v>
      </c>
      <c r="L17" s="102">
        <f t="shared" si="11"/>
        <v>53840</v>
      </c>
      <c r="M17" s="50">
        <f t="shared" si="12"/>
        <v>160</v>
      </c>
      <c r="N17" s="102">
        <f t="shared" si="13"/>
        <v>1600</v>
      </c>
      <c r="O17" s="102">
        <f t="shared" si="14"/>
        <v>52000</v>
      </c>
      <c r="P17" s="102">
        <f t="shared" si="15"/>
        <v>240</v>
      </c>
      <c r="Q17" s="103">
        <f t="shared" si="16"/>
        <v>53840</v>
      </c>
      <c r="R17" s="804"/>
    </row>
    <row r="18" spans="1:18" s="56" customFormat="1" ht="37.35">
      <c r="A18" s="217">
        <v>5</v>
      </c>
      <c r="B18" s="238"/>
      <c r="C18" s="224" t="s">
        <v>311</v>
      </c>
      <c r="D18" s="224" t="s">
        <v>312</v>
      </c>
      <c r="E18" s="219" t="s">
        <v>136</v>
      </c>
      <c r="F18" s="311">
        <v>4</v>
      </c>
      <c r="G18" s="220">
        <v>12</v>
      </c>
      <c r="H18" s="220">
        <v>10</v>
      </c>
      <c r="I18" s="316">
        <v>120</v>
      </c>
      <c r="J18" s="316">
        <v>3281.91</v>
      </c>
      <c r="K18" s="316">
        <v>18</v>
      </c>
      <c r="L18" s="102">
        <f t="shared" si="11"/>
        <v>3419.91</v>
      </c>
      <c r="M18" s="50">
        <f t="shared" si="12"/>
        <v>48</v>
      </c>
      <c r="N18" s="102">
        <f t="shared" si="13"/>
        <v>480</v>
      </c>
      <c r="O18" s="102">
        <f t="shared" si="14"/>
        <v>13127.64</v>
      </c>
      <c r="P18" s="102">
        <f t="shared" si="15"/>
        <v>72</v>
      </c>
      <c r="Q18" s="103">
        <f t="shared" si="16"/>
        <v>13679.64</v>
      </c>
      <c r="R18" s="805"/>
    </row>
    <row r="19" spans="1:18" s="56" customFormat="1" ht="24.9">
      <c r="A19" s="217">
        <v>6</v>
      </c>
      <c r="B19" s="238"/>
      <c r="C19" s="224" t="s">
        <v>313</v>
      </c>
      <c r="D19" s="224" t="s">
        <v>314</v>
      </c>
      <c r="E19" s="219" t="s">
        <v>136</v>
      </c>
      <c r="F19" s="311">
        <v>4</v>
      </c>
      <c r="G19" s="220">
        <v>12</v>
      </c>
      <c r="H19" s="220">
        <v>10</v>
      </c>
      <c r="I19" s="316">
        <v>120</v>
      </c>
      <c r="J19" s="316">
        <v>716.42</v>
      </c>
      <c r="K19" s="316">
        <v>18</v>
      </c>
      <c r="L19" s="102">
        <f t="shared" si="11"/>
        <v>854.42</v>
      </c>
      <c r="M19" s="50">
        <f t="shared" si="12"/>
        <v>48</v>
      </c>
      <c r="N19" s="102">
        <f t="shared" si="13"/>
        <v>480</v>
      </c>
      <c r="O19" s="102">
        <f t="shared" si="14"/>
        <v>2865.68</v>
      </c>
      <c r="P19" s="102">
        <f t="shared" si="15"/>
        <v>72</v>
      </c>
      <c r="Q19" s="103">
        <f t="shared" si="16"/>
        <v>3417.68</v>
      </c>
      <c r="R19" s="805"/>
    </row>
    <row r="20" spans="1:18" s="56" customFormat="1" ht="24.9">
      <c r="A20" s="217">
        <v>7</v>
      </c>
      <c r="B20" s="238"/>
      <c r="C20" s="224" t="s">
        <v>315</v>
      </c>
      <c r="D20" s="224" t="s">
        <v>316</v>
      </c>
      <c r="E20" s="219" t="s">
        <v>136</v>
      </c>
      <c r="F20" s="311">
        <v>1</v>
      </c>
      <c r="G20" s="220">
        <v>12</v>
      </c>
      <c r="H20" s="220">
        <v>10</v>
      </c>
      <c r="I20" s="316">
        <v>120</v>
      </c>
      <c r="J20" s="316">
        <v>278.14</v>
      </c>
      <c r="K20" s="316">
        <v>18</v>
      </c>
      <c r="L20" s="102">
        <f t="shared" si="11"/>
        <v>416.14</v>
      </c>
      <c r="M20" s="50">
        <f t="shared" si="12"/>
        <v>12</v>
      </c>
      <c r="N20" s="102">
        <f t="shared" si="13"/>
        <v>120</v>
      </c>
      <c r="O20" s="102">
        <f t="shared" si="14"/>
        <v>278.14</v>
      </c>
      <c r="P20" s="102">
        <f t="shared" si="15"/>
        <v>18</v>
      </c>
      <c r="Q20" s="103">
        <f t="shared" si="16"/>
        <v>416.14</v>
      </c>
      <c r="R20" s="805"/>
    </row>
    <row r="21" spans="1:18" s="56" customFormat="1" ht="24.9">
      <c r="A21" s="217">
        <v>8</v>
      </c>
      <c r="B21" s="238"/>
      <c r="C21" s="224" t="s">
        <v>317</v>
      </c>
      <c r="D21" s="224" t="s">
        <v>318</v>
      </c>
      <c r="E21" s="219" t="s">
        <v>136</v>
      </c>
      <c r="F21" s="311">
        <v>1</v>
      </c>
      <c r="G21" s="220">
        <v>12</v>
      </c>
      <c r="H21" s="220">
        <v>10</v>
      </c>
      <c r="I21" s="316">
        <v>120</v>
      </c>
      <c r="J21" s="316">
        <v>309.06</v>
      </c>
      <c r="K21" s="316">
        <v>18</v>
      </c>
      <c r="L21" s="102">
        <f t="shared" si="11"/>
        <v>447.06</v>
      </c>
      <c r="M21" s="50">
        <f t="shared" si="12"/>
        <v>12</v>
      </c>
      <c r="N21" s="102">
        <f t="shared" si="13"/>
        <v>120</v>
      </c>
      <c r="O21" s="102">
        <f t="shared" si="14"/>
        <v>309.06</v>
      </c>
      <c r="P21" s="102">
        <f t="shared" si="15"/>
        <v>18</v>
      </c>
      <c r="Q21" s="103">
        <f t="shared" si="16"/>
        <v>447.06</v>
      </c>
      <c r="R21" s="805"/>
    </row>
    <row r="22" spans="1:18" s="56" customFormat="1">
      <c r="A22" s="217">
        <v>9</v>
      </c>
      <c r="B22" s="238"/>
      <c r="C22" s="224" t="s">
        <v>319</v>
      </c>
      <c r="D22" s="224" t="s">
        <v>320</v>
      </c>
      <c r="E22" s="219" t="s">
        <v>136</v>
      </c>
      <c r="F22" s="311">
        <v>2</v>
      </c>
      <c r="G22" s="220">
        <v>1.25</v>
      </c>
      <c r="H22" s="220">
        <v>10</v>
      </c>
      <c r="I22" s="316">
        <v>12.5</v>
      </c>
      <c r="J22" s="316">
        <v>628.32000000000005</v>
      </c>
      <c r="K22" s="316">
        <v>1.875</v>
      </c>
      <c r="L22" s="102">
        <f t="shared" si="11"/>
        <v>642.69500000000005</v>
      </c>
      <c r="M22" s="50">
        <f t="shared" si="12"/>
        <v>2.5</v>
      </c>
      <c r="N22" s="102">
        <f t="shared" si="13"/>
        <v>25</v>
      </c>
      <c r="O22" s="102">
        <f t="shared" si="14"/>
        <v>1256.6400000000001</v>
      </c>
      <c r="P22" s="102">
        <f t="shared" si="15"/>
        <v>3.75</v>
      </c>
      <c r="Q22" s="103">
        <f t="shared" si="16"/>
        <v>1285.3900000000001</v>
      </c>
      <c r="R22" s="805"/>
    </row>
    <row r="23" spans="1:18" s="56" customFormat="1">
      <c r="A23" s="217">
        <v>10</v>
      </c>
      <c r="B23" s="238"/>
      <c r="C23" s="224" t="s">
        <v>321</v>
      </c>
      <c r="D23" s="224" t="s">
        <v>322</v>
      </c>
      <c r="E23" s="219" t="s">
        <v>136</v>
      </c>
      <c r="F23" s="311">
        <v>2</v>
      </c>
      <c r="G23" s="220">
        <v>1.25</v>
      </c>
      <c r="H23" s="220">
        <v>10</v>
      </c>
      <c r="I23" s="316">
        <v>12.5</v>
      </c>
      <c r="J23" s="316">
        <v>54.95</v>
      </c>
      <c r="K23" s="316">
        <v>1.875</v>
      </c>
      <c r="L23" s="102">
        <f t="shared" si="11"/>
        <v>69.325000000000003</v>
      </c>
      <c r="M23" s="50">
        <f t="shared" si="12"/>
        <v>2.5</v>
      </c>
      <c r="N23" s="102">
        <f t="shared" si="13"/>
        <v>25</v>
      </c>
      <c r="O23" s="102">
        <f t="shared" si="14"/>
        <v>109.9</v>
      </c>
      <c r="P23" s="102">
        <f t="shared" si="15"/>
        <v>3.75</v>
      </c>
      <c r="Q23" s="103">
        <f t="shared" si="16"/>
        <v>138.65</v>
      </c>
      <c r="R23" s="805"/>
    </row>
    <row r="24" spans="1:18" s="56" customFormat="1">
      <c r="A24" s="217">
        <v>11</v>
      </c>
      <c r="B24" s="238"/>
      <c r="C24" s="224" t="s">
        <v>323</v>
      </c>
      <c r="D24" s="224" t="s">
        <v>324</v>
      </c>
      <c r="E24" s="219" t="s">
        <v>251</v>
      </c>
      <c r="F24" s="311">
        <v>45</v>
      </c>
      <c r="G24" s="220">
        <v>1.1000000000000001</v>
      </c>
      <c r="H24" s="220">
        <v>10</v>
      </c>
      <c r="I24" s="316">
        <v>11</v>
      </c>
      <c r="J24" s="316">
        <v>2.29</v>
      </c>
      <c r="K24" s="316">
        <v>1.65</v>
      </c>
      <c r="L24" s="102">
        <f t="shared" si="11"/>
        <v>14.94</v>
      </c>
      <c r="M24" s="50">
        <f t="shared" si="12"/>
        <v>49.5</v>
      </c>
      <c r="N24" s="102">
        <f t="shared" si="13"/>
        <v>495</v>
      </c>
      <c r="O24" s="102">
        <f t="shared" si="14"/>
        <v>103.05</v>
      </c>
      <c r="P24" s="102">
        <f t="shared" si="15"/>
        <v>74.25</v>
      </c>
      <c r="Q24" s="103">
        <f t="shared" si="16"/>
        <v>672.3</v>
      </c>
      <c r="R24" s="805"/>
    </row>
    <row r="25" spans="1:18" s="56" customFormat="1">
      <c r="A25" s="217">
        <v>12</v>
      </c>
      <c r="B25" s="238"/>
      <c r="C25" s="224" t="s">
        <v>323</v>
      </c>
      <c r="D25" s="224" t="s">
        <v>325</v>
      </c>
      <c r="E25" s="219" t="s">
        <v>251</v>
      </c>
      <c r="F25" s="311">
        <v>60</v>
      </c>
      <c r="G25" s="220">
        <v>1.1000000000000001</v>
      </c>
      <c r="H25" s="220">
        <v>10</v>
      </c>
      <c r="I25" s="316">
        <v>11</v>
      </c>
      <c r="J25" s="316">
        <v>2.97</v>
      </c>
      <c r="K25" s="316">
        <v>1.65</v>
      </c>
      <c r="L25" s="102">
        <f t="shared" si="11"/>
        <v>15.620000000000001</v>
      </c>
      <c r="M25" s="50">
        <f t="shared" si="12"/>
        <v>66</v>
      </c>
      <c r="N25" s="102">
        <f t="shared" si="13"/>
        <v>660</v>
      </c>
      <c r="O25" s="102">
        <f t="shared" si="14"/>
        <v>178.2</v>
      </c>
      <c r="P25" s="102">
        <f t="shared" si="15"/>
        <v>99</v>
      </c>
      <c r="Q25" s="103">
        <f t="shared" si="16"/>
        <v>937.2</v>
      </c>
      <c r="R25" s="805"/>
    </row>
    <row r="26" spans="1:18" s="56" customFormat="1">
      <c r="A26" s="217">
        <v>13</v>
      </c>
      <c r="B26" s="238"/>
      <c r="C26" s="224" t="s">
        <v>323</v>
      </c>
      <c r="D26" s="224" t="s">
        <v>326</v>
      </c>
      <c r="E26" s="219" t="s">
        <v>251</v>
      </c>
      <c r="F26" s="311">
        <v>90</v>
      </c>
      <c r="G26" s="220">
        <v>1.1000000000000001</v>
      </c>
      <c r="H26" s="220">
        <v>10</v>
      </c>
      <c r="I26" s="316">
        <v>11</v>
      </c>
      <c r="J26" s="316">
        <v>3.86</v>
      </c>
      <c r="K26" s="316">
        <v>1.65</v>
      </c>
      <c r="L26" s="102">
        <f t="shared" si="11"/>
        <v>16.509999999999998</v>
      </c>
      <c r="M26" s="50">
        <f t="shared" si="12"/>
        <v>99</v>
      </c>
      <c r="N26" s="102">
        <f t="shared" si="13"/>
        <v>990</v>
      </c>
      <c r="O26" s="102">
        <f t="shared" si="14"/>
        <v>347.4</v>
      </c>
      <c r="P26" s="102">
        <f t="shared" si="15"/>
        <v>148.5</v>
      </c>
      <c r="Q26" s="103">
        <f t="shared" si="16"/>
        <v>1485.9</v>
      </c>
      <c r="R26" s="805"/>
    </row>
    <row r="27" spans="1:18" s="56" customFormat="1">
      <c r="A27" s="217">
        <v>14</v>
      </c>
      <c r="B27" s="238"/>
      <c r="C27" s="224" t="s">
        <v>323</v>
      </c>
      <c r="D27" s="224" t="s">
        <v>327</v>
      </c>
      <c r="E27" s="219" t="s">
        <v>251</v>
      </c>
      <c r="F27" s="311">
        <v>180</v>
      </c>
      <c r="G27" s="220">
        <v>1.1000000000000001</v>
      </c>
      <c r="H27" s="220">
        <v>10</v>
      </c>
      <c r="I27" s="316">
        <v>11</v>
      </c>
      <c r="J27" s="316">
        <v>4.7699999999999996</v>
      </c>
      <c r="K27" s="316">
        <v>1.65</v>
      </c>
      <c r="L27" s="102">
        <f t="shared" si="11"/>
        <v>17.419999999999998</v>
      </c>
      <c r="M27" s="50">
        <f t="shared" si="12"/>
        <v>198</v>
      </c>
      <c r="N27" s="102">
        <f t="shared" si="13"/>
        <v>1980</v>
      </c>
      <c r="O27" s="102">
        <f t="shared" si="14"/>
        <v>858.6</v>
      </c>
      <c r="P27" s="102">
        <f t="shared" si="15"/>
        <v>297</v>
      </c>
      <c r="Q27" s="103">
        <f t="shared" si="16"/>
        <v>3135.6</v>
      </c>
      <c r="R27" s="805"/>
    </row>
    <row r="28" spans="1:18" s="56" customFormat="1">
      <c r="A28" s="217">
        <v>15</v>
      </c>
      <c r="B28" s="238"/>
      <c r="C28" s="224" t="s">
        <v>323</v>
      </c>
      <c r="D28" s="224" t="s">
        <v>328</v>
      </c>
      <c r="E28" s="219" t="s">
        <v>251</v>
      </c>
      <c r="F28" s="311">
        <v>150</v>
      </c>
      <c r="G28" s="220">
        <v>1.1000000000000001</v>
      </c>
      <c r="H28" s="220">
        <v>10</v>
      </c>
      <c r="I28" s="316">
        <v>11</v>
      </c>
      <c r="J28" s="316">
        <v>5.84</v>
      </c>
      <c r="K28" s="316">
        <v>1.65</v>
      </c>
      <c r="L28" s="102">
        <f t="shared" si="11"/>
        <v>18.489999999999998</v>
      </c>
      <c r="M28" s="50">
        <f t="shared" si="12"/>
        <v>165</v>
      </c>
      <c r="N28" s="102">
        <f t="shared" si="13"/>
        <v>1650</v>
      </c>
      <c r="O28" s="102">
        <f t="shared" si="14"/>
        <v>876</v>
      </c>
      <c r="P28" s="102">
        <f t="shared" si="15"/>
        <v>247.5</v>
      </c>
      <c r="Q28" s="103">
        <f t="shared" si="16"/>
        <v>2773.5</v>
      </c>
      <c r="R28" s="805"/>
    </row>
    <row r="29" spans="1:18" s="56" customFormat="1">
      <c r="A29" s="217">
        <v>16</v>
      </c>
      <c r="B29" s="238"/>
      <c r="C29" s="224" t="s">
        <v>323</v>
      </c>
      <c r="D29" s="224" t="s">
        <v>329</v>
      </c>
      <c r="E29" s="219" t="s">
        <v>251</v>
      </c>
      <c r="F29" s="311">
        <v>100</v>
      </c>
      <c r="G29" s="220">
        <v>1.1000000000000001</v>
      </c>
      <c r="H29" s="220">
        <v>10</v>
      </c>
      <c r="I29" s="316">
        <v>11</v>
      </c>
      <c r="J29" s="316">
        <v>7.57</v>
      </c>
      <c r="K29" s="316">
        <v>1.65</v>
      </c>
      <c r="L29" s="102">
        <f t="shared" si="11"/>
        <v>20.22</v>
      </c>
      <c r="M29" s="50">
        <f t="shared" si="12"/>
        <v>110</v>
      </c>
      <c r="N29" s="102">
        <f t="shared" si="13"/>
        <v>1100</v>
      </c>
      <c r="O29" s="102">
        <f t="shared" si="14"/>
        <v>757</v>
      </c>
      <c r="P29" s="102">
        <f t="shared" si="15"/>
        <v>165</v>
      </c>
      <c r="Q29" s="103">
        <f t="shared" si="16"/>
        <v>2022</v>
      </c>
      <c r="R29" s="805"/>
    </row>
    <row r="30" spans="1:18" s="56" customFormat="1">
      <c r="A30" s="217">
        <v>17</v>
      </c>
      <c r="B30" s="238"/>
      <c r="C30" s="224" t="s">
        <v>323</v>
      </c>
      <c r="D30" s="224" t="s">
        <v>330</v>
      </c>
      <c r="E30" s="219" t="s">
        <v>251</v>
      </c>
      <c r="F30" s="311">
        <v>140</v>
      </c>
      <c r="G30" s="220">
        <v>1.1000000000000001</v>
      </c>
      <c r="H30" s="220">
        <v>10</v>
      </c>
      <c r="I30" s="316">
        <v>11</v>
      </c>
      <c r="J30" s="316">
        <v>11.96</v>
      </c>
      <c r="K30" s="316">
        <v>1.65</v>
      </c>
      <c r="L30" s="102">
        <f t="shared" si="11"/>
        <v>24.61</v>
      </c>
      <c r="M30" s="50">
        <f t="shared" si="12"/>
        <v>154</v>
      </c>
      <c r="N30" s="102">
        <f t="shared" si="13"/>
        <v>1540</v>
      </c>
      <c r="O30" s="102">
        <f t="shared" si="14"/>
        <v>1674.4</v>
      </c>
      <c r="P30" s="102">
        <f t="shared" si="15"/>
        <v>231</v>
      </c>
      <c r="Q30" s="103">
        <f t="shared" si="16"/>
        <v>3445.4</v>
      </c>
      <c r="R30" s="805"/>
    </row>
    <row r="31" spans="1:18" s="56" customFormat="1">
      <c r="A31" s="217">
        <v>18</v>
      </c>
      <c r="B31" s="238"/>
      <c r="C31" s="224" t="s">
        <v>323</v>
      </c>
      <c r="D31" s="224" t="s">
        <v>331</v>
      </c>
      <c r="E31" s="219" t="s">
        <v>251</v>
      </c>
      <c r="F31" s="311">
        <v>150</v>
      </c>
      <c r="G31" s="220">
        <v>1.1000000000000001</v>
      </c>
      <c r="H31" s="220">
        <v>10</v>
      </c>
      <c r="I31" s="316">
        <v>6.6</v>
      </c>
      <c r="J31" s="316">
        <v>15.11</v>
      </c>
      <c r="K31" s="316">
        <v>0.98999999999999988</v>
      </c>
      <c r="L31" s="102">
        <f t="shared" si="11"/>
        <v>22.7</v>
      </c>
      <c r="M31" s="50">
        <f t="shared" si="12"/>
        <v>165</v>
      </c>
      <c r="N31" s="102">
        <f t="shared" si="13"/>
        <v>990</v>
      </c>
      <c r="O31" s="102">
        <f t="shared" si="14"/>
        <v>2266.5</v>
      </c>
      <c r="P31" s="102">
        <f t="shared" si="15"/>
        <v>148.5</v>
      </c>
      <c r="Q31" s="103">
        <f t="shared" si="16"/>
        <v>3405</v>
      </c>
      <c r="R31" s="805"/>
    </row>
    <row r="32" spans="1:18" s="56" customFormat="1">
      <c r="A32" s="217">
        <v>19</v>
      </c>
      <c r="B32" s="238"/>
      <c r="C32" s="224" t="s">
        <v>323</v>
      </c>
      <c r="D32" s="224" t="s">
        <v>332</v>
      </c>
      <c r="E32" s="219" t="s">
        <v>251</v>
      </c>
      <c r="F32" s="311">
        <v>150</v>
      </c>
      <c r="G32" s="220">
        <v>1.1000000000000001</v>
      </c>
      <c r="H32" s="220">
        <v>10</v>
      </c>
      <c r="I32" s="316">
        <v>6.6</v>
      </c>
      <c r="J32" s="716">
        <v>26.55</v>
      </c>
      <c r="K32" s="316">
        <v>0.98999999999999988</v>
      </c>
      <c r="L32" s="102">
        <f t="shared" si="11"/>
        <v>34.14</v>
      </c>
      <c r="M32" s="50">
        <f t="shared" si="12"/>
        <v>165</v>
      </c>
      <c r="N32" s="102">
        <f t="shared" si="13"/>
        <v>990</v>
      </c>
      <c r="O32" s="102">
        <f t="shared" si="14"/>
        <v>3982.5</v>
      </c>
      <c r="P32" s="102">
        <f t="shared" si="15"/>
        <v>148.5</v>
      </c>
      <c r="Q32" s="103">
        <f t="shared" si="16"/>
        <v>5121</v>
      </c>
      <c r="R32" s="805"/>
    </row>
    <row r="33" spans="1:18" s="56" customFormat="1">
      <c r="A33" s="217">
        <v>20</v>
      </c>
      <c r="B33" s="238"/>
      <c r="C33" s="224" t="s">
        <v>323</v>
      </c>
      <c r="D33" s="224" t="s">
        <v>333</v>
      </c>
      <c r="E33" s="219" t="s">
        <v>251</v>
      </c>
      <c r="F33" s="311">
        <v>160</v>
      </c>
      <c r="G33" s="220">
        <v>1.1000000000000001</v>
      </c>
      <c r="H33" s="220">
        <v>10</v>
      </c>
      <c r="I33" s="316">
        <v>6.6</v>
      </c>
      <c r="J33" s="716">
        <v>34.200000000000003</v>
      </c>
      <c r="K33" s="316">
        <v>0.98999999999999988</v>
      </c>
      <c r="L33" s="102">
        <f t="shared" si="11"/>
        <v>41.790000000000006</v>
      </c>
      <c r="M33" s="50">
        <f t="shared" si="12"/>
        <v>176</v>
      </c>
      <c r="N33" s="102">
        <f t="shared" si="13"/>
        <v>1056</v>
      </c>
      <c r="O33" s="102">
        <f t="shared" si="14"/>
        <v>5472</v>
      </c>
      <c r="P33" s="102">
        <f t="shared" si="15"/>
        <v>158.4</v>
      </c>
      <c r="Q33" s="103">
        <f t="shared" si="16"/>
        <v>6686.4</v>
      </c>
      <c r="R33" s="805"/>
    </row>
    <row r="34" spans="1:18" s="56" customFormat="1">
      <c r="A34" s="217">
        <v>21</v>
      </c>
      <c r="B34" s="238"/>
      <c r="C34" s="224" t="s">
        <v>323</v>
      </c>
      <c r="D34" s="224" t="s">
        <v>334</v>
      </c>
      <c r="E34" s="219" t="s">
        <v>251</v>
      </c>
      <c r="F34" s="311">
        <v>2</v>
      </c>
      <c r="G34" s="220">
        <v>1.1000000000000001</v>
      </c>
      <c r="H34" s="220">
        <v>10</v>
      </c>
      <c r="I34" s="316">
        <v>6.6</v>
      </c>
      <c r="J34" s="716">
        <v>45.39</v>
      </c>
      <c r="K34" s="316">
        <v>0.98999999999999988</v>
      </c>
      <c r="L34" s="102">
        <f t="shared" si="11"/>
        <v>52.980000000000004</v>
      </c>
      <c r="M34" s="50">
        <f t="shared" si="12"/>
        <v>2.2000000000000002</v>
      </c>
      <c r="N34" s="102">
        <f t="shared" si="13"/>
        <v>13.2</v>
      </c>
      <c r="O34" s="102">
        <f t="shared" si="14"/>
        <v>90.78</v>
      </c>
      <c r="P34" s="102">
        <f t="shared" si="15"/>
        <v>1.98</v>
      </c>
      <c r="Q34" s="103">
        <f t="shared" si="16"/>
        <v>105.96000000000001</v>
      </c>
      <c r="R34" s="805"/>
    </row>
    <row r="35" spans="1:18" s="56" customFormat="1">
      <c r="A35" s="217">
        <v>22</v>
      </c>
      <c r="B35" s="238"/>
      <c r="C35" s="705" t="s">
        <v>323</v>
      </c>
      <c r="D35" s="717" t="s">
        <v>1626</v>
      </c>
      <c r="E35" s="707" t="s">
        <v>251</v>
      </c>
      <c r="F35" s="708">
        <v>1</v>
      </c>
      <c r="G35" s="220">
        <v>1.1499999999999999</v>
      </c>
      <c r="H35" s="220">
        <v>10</v>
      </c>
      <c r="I35" s="316">
        <v>11.5</v>
      </c>
      <c r="J35" s="316">
        <v>22.25</v>
      </c>
      <c r="K35" s="316">
        <v>1.7249999999999999</v>
      </c>
      <c r="L35" s="102">
        <f t="shared" si="11"/>
        <v>35.475000000000001</v>
      </c>
      <c r="M35" s="50">
        <f t="shared" si="12"/>
        <v>1.1499999999999999</v>
      </c>
      <c r="N35" s="102">
        <f t="shared" si="13"/>
        <v>11.5</v>
      </c>
      <c r="O35" s="102">
        <f t="shared" si="14"/>
        <v>22.25</v>
      </c>
      <c r="P35" s="102">
        <f t="shared" si="15"/>
        <v>1.73</v>
      </c>
      <c r="Q35" s="103">
        <f t="shared" si="16"/>
        <v>35.479999999999997</v>
      </c>
      <c r="R35" s="805"/>
    </row>
    <row r="36" spans="1:18" s="56" customFormat="1">
      <c r="A36" s="217">
        <v>23</v>
      </c>
      <c r="B36" s="238"/>
      <c r="C36" s="224" t="s">
        <v>323</v>
      </c>
      <c r="D36" s="224" t="s">
        <v>335</v>
      </c>
      <c r="E36" s="219" t="s">
        <v>251</v>
      </c>
      <c r="F36" s="311">
        <v>15</v>
      </c>
      <c r="G36" s="220">
        <v>1.1499999999999999</v>
      </c>
      <c r="H36" s="220">
        <v>10</v>
      </c>
      <c r="I36" s="316">
        <v>11.5</v>
      </c>
      <c r="J36" s="316">
        <v>28.99</v>
      </c>
      <c r="K36" s="316">
        <v>1.7249999999999999</v>
      </c>
      <c r="L36" s="102">
        <f t="shared" si="11"/>
        <v>42.214999999999996</v>
      </c>
      <c r="M36" s="50">
        <f t="shared" si="12"/>
        <v>17.25</v>
      </c>
      <c r="N36" s="102">
        <f t="shared" si="13"/>
        <v>172.5</v>
      </c>
      <c r="O36" s="102">
        <f t="shared" si="14"/>
        <v>434.85</v>
      </c>
      <c r="P36" s="102">
        <f t="shared" si="15"/>
        <v>25.88</v>
      </c>
      <c r="Q36" s="103">
        <f t="shared" si="16"/>
        <v>633.23</v>
      </c>
      <c r="R36" s="805"/>
    </row>
    <row r="37" spans="1:18" s="56" customFormat="1">
      <c r="A37" s="217">
        <v>24</v>
      </c>
      <c r="B37" s="238"/>
      <c r="C37" s="224" t="s">
        <v>323</v>
      </c>
      <c r="D37" s="224" t="s">
        <v>336</v>
      </c>
      <c r="E37" s="219" t="s">
        <v>251</v>
      </c>
      <c r="F37" s="311">
        <v>30</v>
      </c>
      <c r="G37" s="220">
        <v>1.1499999999999999</v>
      </c>
      <c r="H37" s="220">
        <v>10</v>
      </c>
      <c r="I37" s="316">
        <v>11.5</v>
      </c>
      <c r="J37" s="316">
        <v>30.6</v>
      </c>
      <c r="K37" s="316">
        <v>1.7249999999999999</v>
      </c>
      <c r="L37" s="102">
        <f t="shared" si="11"/>
        <v>43.825000000000003</v>
      </c>
      <c r="M37" s="50">
        <f t="shared" si="12"/>
        <v>34.5</v>
      </c>
      <c r="N37" s="102">
        <f t="shared" si="13"/>
        <v>345</v>
      </c>
      <c r="O37" s="102">
        <f t="shared" si="14"/>
        <v>918</v>
      </c>
      <c r="P37" s="102">
        <f t="shared" si="15"/>
        <v>51.75</v>
      </c>
      <c r="Q37" s="103">
        <f t="shared" si="16"/>
        <v>1314.75</v>
      </c>
      <c r="R37" s="805"/>
    </row>
    <row r="38" spans="1:18" s="56" customFormat="1">
      <c r="A38" s="217">
        <v>25</v>
      </c>
      <c r="B38" s="238"/>
      <c r="C38" s="224" t="s">
        <v>323</v>
      </c>
      <c r="D38" s="224" t="s">
        <v>337</v>
      </c>
      <c r="E38" s="219" t="s">
        <v>251</v>
      </c>
      <c r="F38" s="311">
        <v>10</v>
      </c>
      <c r="G38" s="220">
        <v>1.1499999999999999</v>
      </c>
      <c r="H38" s="220">
        <v>10</v>
      </c>
      <c r="I38" s="316">
        <v>11.5</v>
      </c>
      <c r="J38" s="316">
        <v>32.58</v>
      </c>
      <c r="K38" s="316">
        <v>1.7249999999999999</v>
      </c>
      <c r="L38" s="102">
        <f t="shared" si="11"/>
        <v>45.805</v>
      </c>
      <c r="M38" s="50">
        <f t="shared" si="12"/>
        <v>11.5</v>
      </c>
      <c r="N38" s="102">
        <f t="shared" si="13"/>
        <v>115</v>
      </c>
      <c r="O38" s="102">
        <f t="shared" si="14"/>
        <v>325.8</v>
      </c>
      <c r="P38" s="102">
        <f t="shared" si="15"/>
        <v>17.25</v>
      </c>
      <c r="Q38" s="103">
        <f t="shared" si="16"/>
        <v>458.05</v>
      </c>
      <c r="R38" s="805"/>
    </row>
    <row r="39" spans="1:18" s="56" customFormat="1">
      <c r="A39" s="217">
        <v>26</v>
      </c>
      <c r="B39" s="238"/>
      <c r="C39" s="224" t="s">
        <v>323</v>
      </c>
      <c r="D39" s="224" t="s">
        <v>338</v>
      </c>
      <c r="E39" s="219" t="s">
        <v>251</v>
      </c>
      <c r="F39" s="311">
        <v>60</v>
      </c>
      <c r="G39" s="220">
        <v>1.1499999999999999</v>
      </c>
      <c r="H39" s="220">
        <v>10</v>
      </c>
      <c r="I39" s="316">
        <v>11.5</v>
      </c>
      <c r="J39" s="316">
        <v>33.630000000000003</v>
      </c>
      <c r="K39" s="316">
        <v>1.7249999999999999</v>
      </c>
      <c r="L39" s="102">
        <f t="shared" si="11"/>
        <v>46.855000000000004</v>
      </c>
      <c r="M39" s="50">
        <f t="shared" si="12"/>
        <v>69</v>
      </c>
      <c r="N39" s="102">
        <f t="shared" si="13"/>
        <v>690</v>
      </c>
      <c r="O39" s="102">
        <f t="shared" si="14"/>
        <v>2017.8</v>
      </c>
      <c r="P39" s="102">
        <f t="shared" si="15"/>
        <v>103.5</v>
      </c>
      <c r="Q39" s="103">
        <f t="shared" si="16"/>
        <v>2811.3</v>
      </c>
      <c r="R39" s="805"/>
    </row>
    <row r="40" spans="1:18" s="56" customFormat="1">
      <c r="A40" s="217">
        <v>27</v>
      </c>
      <c r="B40" s="238"/>
      <c r="C40" s="705" t="s">
        <v>323</v>
      </c>
      <c r="D40" s="717" t="s">
        <v>1627</v>
      </c>
      <c r="E40" s="707" t="s">
        <v>251</v>
      </c>
      <c r="F40" s="718">
        <v>1</v>
      </c>
      <c r="G40" s="220">
        <v>1.1499999999999999</v>
      </c>
      <c r="H40" s="220">
        <v>10</v>
      </c>
      <c r="I40" s="316">
        <v>11.5</v>
      </c>
      <c r="J40" s="316">
        <v>42.22</v>
      </c>
      <c r="K40" s="316">
        <v>1.7249999999999999</v>
      </c>
      <c r="L40" s="102">
        <f t="shared" si="11"/>
        <v>55.445</v>
      </c>
      <c r="M40" s="50">
        <f t="shared" si="12"/>
        <v>1.1499999999999999</v>
      </c>
      <c r="N40" s="102">
        <f t="shared" si="13"/>
        <v>11.5</v>
      </c>
      <c r="O40" s="102">
        <f t="shared" si="14"/>
        <v>42.22</v>
      </c>
      <c r="P40" s="102">
        <f t="shared" si="15"/>
        <v>1.73</v>
      </c>
      <c r="Q40" s="103">
        <f t="shared" si="16"/>
        <v>55.449999999999996</v>
      </c>
      <c r="R40" s="805"/>
    </row>
    <row r="41" spans="1:18" s="56" customFormat="1">
      <c r="A41" s="217">
        <v>28</v>
      </c>
      <c r="B41" s="238"/>
      <c r="C41" s="705" t="s">
        <v>323</v>
      </c>
      <c r="D41" s="717" t="s">
        <v>1628</v>
      </c>
      <c r="E41" s="707" t="s">
        <v>251</v>
      </c>
      <c r="F41" s="718">
        <v>1</v>
      </c>
      <c r="G41" s="709">
        <v>1.1499999999999999</v>
      </c>
      <c r="H41" s="715">
        <v>10</v>
      </c>
      <c r="I41" s="640">
        <f t="shared" ref="I41:I43" si="19">ROUND(G41*H41,2)</f>
        <v>11.5</v>
      </c>
      <c r="J41" s="709">
        <v>67.25</v>
      </c>
      <c r="K41" s="377">
        <f t="shared" ref="K41:K43" si="20">I41*0.15</f>
        <v>1.7249999999999999</v>
      </c>
      <c r="L41" s="102">
        <f t="shared" si="11"/>
        <v>80.474999999999994</v>
      </c>
      <c r="M41" s="50">
        <f t="shared" si="12"/>
        <v>1.1499999999999999</v>
      </c>
      <c r="N41" s="102">
        <f t="shared" si="13"/>
        <v>11.5</v>
      </c>
      <c r="O41" s="102">
        <f t="shared" si="14"/>
        <v>67.25</v>
      </c>
      <c r="P41" s="102">
        <f t="shared" si="15"/>
        <v>1.73</v>
      </c>
      <c r="Q41" s="103">
        <f t="shared" si="16"/>
        <v>80.48</v>
      </c>
      <c r="R41" s="805"/>
    </row>
    <row r="42" spans="1:18" s="56" customFormat="1">
      <c r="A42" s="217">
        <v>29</v>
      </c>
      <c r="B42" s="238"/>
      <c r="C42" s="705" t="s">
        <v>323</v>
      </c>
      <c r="D42" s="717" t="s">
        <v>1629</v>
      </c>
      <c r="E42" s="707" t="s">
        <v>251</v>
      </c>
      <c r="F42" s="718">
        <v>25</v>
      </c>
      <c r="G42" s="709">
        <v>1.1499999999999999</v>
      </c>
      <c r="H42" s="715">
        <v>10</v>
      </c>
      <c r="I42" s="640">
        <f t="shared" si="19"/>
        <v>11.5</v>
      </c>
      <c r="J42" s="709">
        <v>72.58</v>
      </c>
      <c r="K42" s="377">
        <f t="shared" si="20"/>
        <v>1.7249999999999999</v>
      </c>
      <c r="L42" s="102">
        <f t="shared" si="11"/>
        <v>85.804999999999993</v>
      </c>
      <c r="M42" s="50">
        <f t="shared" si="12"/>
        <v>28.75</v>
      </c>
      <c r="N42" s="102">
        <f t="shared" si="13"/>
        <v>287.5</v>
      </c>
      <c r="O42" s="102">
        <f t="shared" si="14"/>
        <v>1814.5</v>
      </c>
      <c r="P42" s="102">
        <f t="shared" si="15"/>
        <v>43.13</v>
      </c>
      <c r="Q42" s="103">
        <f t="shared" si="16"/>
        <v>2145.13</v>
      </c>
      <c r="R42" s="805"/>
    </row>
    <row r="43" spans="1:18" s="56" customFormat="1">
      <c r="A43" s="217">
        <v>30</v>
      </c>
      <c r="B43" s="238"/>
      <c r="C43" s="705" t="s">
        <v>323</v>
      </c>
      <c r="D43" s="717" t="s">
        <v>1630</v>
      </c>
      <c r="E43" s="707" t="s">
        <v>251</v>
      </c>
      <c r="F43" s="718">
        <v>10</v>
      </c>
      <c r="G43" s="709">
        <v>1.1499999999999999</v>
      </c>
      <c r="H43" s="715">
        <v>10</v>
      </c>
      <c r="I43" s="640">
        <f t="shared" si="19"/>
        <v>11.5</v>
      </c>
      <c r="J43" s="709">
        <v>75.66</v>
      </c>
      <c r="K43" s="377">
        <f t="shared" si="20"/>
        <v>1.7249999999999999</v>
      </c>
      <c r="L43" s="102">
        <f t="shared" si="11"/>
        <v>88.884999999999991</v>
      </c>
      <c r="M43" s="50">
        <f t="shared" si="12"/>
        <v>11.5</v>
      </c>
      <c r="N43" s="102">
        <f t="shared" si="13"/>
        <v>115</v>
      </c>
      <c r="O43" s="102">
        <f t="shared" si="14"/>
        <v>756.6</v>
      </c>
      <c r="P43" s="102">
        <f t="shared" si="15"/>
        <v>17.25</v>
      </c>
      <c r="Q43" s="103">
        <f t="shared" si="16"/>
        <v>888.85</v>
      </c>
      <c r="R43" s="805"/>
    </row>
    <row r="44" spans="1:18" s="56" customFormat="1">
      <c r="A44" s="217">
        <v>31</v>
      </c>
      <c r="B44" s="238"/>
      <c r="C44" s="224" t="s">
        <v>323</v>
      </c>
      <c r="D44" s="224" t="s">
        <v>339</v>
      </c>
      <c r="E44" s="219" t="s">
        <v>251</v>
      </c>
      <c r="F44" s="311">
        <v>1</v>
      </c>
      <c r="G44" s="220">
        <v>1.1499999999999999</v>
      </c>
      <c r="H44" s="220">
        <v>10</v>
      </c>
      <c r="I44" s="316">
        <v>11.5</v>
      </c>
      <c r="J44" s="316">
        <v>34.5</v>
      </c>
      <c r="K44" s="316">
        <v>1.7249999999999999</v>
      </c>
      <c r="L44" s="102">
        <f t="shared" si="11"/>
        <v>47.725000000000001</v>
      </c>
      <c r="M44" s="50">
        <f t="shared" si="12"/>
        <v>1.1499999999999999</v>
      </c>
      <c r="N44" s="102">
        <f t="shared" si="13"/>
        <v>11.5</v>
      </c>
      <c r="O44" s="102">
        <f t="shared" si="14"/>
        <v>34.5</v>
      </c>
      <c r="P44" s="102">
        <f t="shared" si="15"/>
        <v>1.73</v>
      </c>
      <c r="Q44" s="103">
        <f t="shared" si="16"/>
        <v>47.73</v>
      </c>
      <c r="R44" s="805"/>
    </row>
    <row r="45" spans="1:18" s="56" customFormat="1">
      <c r="A45" s="217">
        <v>32</v>
      </c>
      <c r="B45" s="238"/>
      <c r="C45" s="305" t="s">
        <v>323</v>
      </c>
      <c r="D45" s="305" t="s">
        <v>1631</v>
      </c>
      <c r="E45" s="306" t="s">
        <v>251</v>
      </c>
      <c r="F45" s="307">
        <v>10</v>
      </c>
      <c r="G45" s="220">
        <v>1.2</v>
      </c>
      <c r="H45" s="220">
        <v>10</v>
      </c>
      <c r="I45" s="316">
        <v>12</v>
      </c>
      <c r="J45" s="316">
        <v>89.5</v>
      </c>
      <c r="K45" s="316">
        <v>1.7999999999999998</v>
      </c>
      <c r="L45" s="102">
        <f t="shared" si="11"/>
        <v>103.3</v>
      </c>
      <c r="M45" s="50">
        <f t="shared" si="12"/>
        <v>12</v>
      </c>
      <c r="N45" s="102">
        <f t="shared" si="13"/>
        <v>120</v>
      </c>
      <c r="O45" s="102">
        <f t="shared" si="14"/>
        <v>895</v>
      </c>
      <c r="P45" s="102">
        <f t="shared" si="15"/>
        <v>18</v>
      </c>
      <c r="Q45" s="103">
        <f t="shared" si="16"/>
        <v>1033</v>
      </c>
      <c r="R45" s="805"/>
    </row>
    <row r="46" spans="1:18" s="56" customFormat="1">
      <c r="A46" s="217">
        <v>33</v>
      </c>
      <c r="B46" s="238"/>
      <c r="C46" s="305" t="s">
        <v>323</v>
      </c>
      <c r="D46" s="305" t="s">
        <v>1632</v>
      </c>
      <c r="E46" s="306" t="s">
        <v>251</v>
      </c>
      <c r="F46" s="307">
        <v>11</v>
      </c>
      <c r="G46" s="220">
        <v>1.2</v>
      </c>
      <c r="H46" s="220">
        <v>10</v>
      </c>
      <c r="I46" s="316">
        <v>12</v>
      </c>
      <c r="J46" s="316">
        <v>128.85</v>
      </c>
      <c r="K46" s="316">
        <v>1.7999999999999998</v>
      </c>
      <c r="L46" s="102">
        <f t="shared" si="11"/>
        <v>142.65</v>
      </c>
      <c r="M46" s="50">
        <f t="shared" si="12"/>
        <v>13.2</v>
      </c>
      <c r="N46" s="102">
        <f t="shared" si="13"/>
        <v>132</v>
      </c>
      <c r="O46" s="102">
        <f t="shared" si="14"/>
        <v>1417.35</v>
      </c>
      <c r="P46" s="102">
        <f t="shared" si="15"/>
        <v>19.8</v>
      </c>
      <c r="Q46" s="103">
        <f t="shared" si="16"/>
        <v>1569.1499999999999</v>
      </c>
      <c r="R46" s="805"/>
    </row>
    <row r="47" spans="1:18" s="56" customFormat="1">
      <c r="A47" s="217">
        <v>34</v>
      </c>
      <c r="B47" s="238"/>
      <c r="C47" s="224" t="s">
        <v>323</v>
      </c>
      <c r="D47" s="224" t="s">
        <v>340</v>
      </c>
      <c r="E47" s="219" t="s">
        <v>251</v>
      </c>
      <c r="F47" s="311">
        <v>6</v>
      </c>
      <c r="G47" s="220">
        <v>1.2</v>
      </c>
      <c r="H47" s="220">
        <v>10</v>
      </c>
      <c r="I47" s="316">
        <v>12</v>
      </c>
      <c r="J47" s="316">
        <v>103.2</v>
      </c>
      <c r="K47" s="316">
        <v>1.7999999999999998</v>
      </c>
      <c r="L47" s="102">
        <f t="shared" si="11"/>
        <v>117</v>
      </c>
      <c r="M47" s="50">
        <f t="shared" si="12"/>
        <v>7.2</v>
      </c>
      <c r="N47" s="102">
        <f t="shared" si="13"/>
        <v>72</v>
      </c>
      <c r="O47" s="102">
        <f t="shared" si="14"/>
        <v>619.20000000000005</v>
      </c>
      <c r="P47" s="102">
        <f t="shared" si="15"/>
        <v>10.8</v>
      </c>
      <c r="Q47" s="103">
        <f t="shared" si="16"/>
        <v>702</v>
      </c>
      <c r="R47" s="805"/>
    </row>
    <row r="48" spans="1:18" s="56" customFormat="1">
      <c r="A48" s="217">
        <v>35</v>
      </c>
      <c r="B48" s="238"/>
      <c r="C48" s="224" t="s">
        <v>323</v>
      </c>
      <c r="D48" s="224" t="s">
        <v>341</v>
      </c>
      <c r="E48" s="219" t="s">
        <v>251</v>
      </c>
      <c r="F48" s="311">
        <v>10</v>
      </c>
      <c r="G48" s="220">
        <v>1.2</v>
      </c>
      <c r="H48" s="220">
        <v>10</v>
      </c>
      <c r="I48" s="316">
        <v>12</v>
      </c>
      <c r="J48" s="316">
        <v>208.2</v>
      </c>
      <c r="K48" s="316">
        <v>1.7999999999999998</v>
      </c>
      <c r="L48" s="102">
        <f t="shared" si="11"/>
        <v>222</v>
      </c>
      <c r="M48" s="50">
        <f t="shared" si="12"/>
        <v>12</v>
      </c>
      <c r="N48" s="102">
        <f t="shared" si="13"/>
        <v>120</v>
      </c>
      <c r="O48" s="102">
        <f t="shared" si="14"/>
        <v>2082</v>
      </c>
      <c r="P48" s="102">
        <f t="shared" si="15"/>
        <v>18</v>
      </c>
      <c r="Q48" s="103">
        <f t="shared" si="16"/>
        <v>2220</v>
      </c>
      <c r="R48" s="805"/>
    </row>
    <row r="49" spans="1:18" s="56" customFormat="1">
      <c r="A49" s="217">
        <v>36</v>
      </c>
      <c r="B49" s="238"/>
      <c r="C49" s="224" t="s">
        <v>323</v>
      </c>
      <c r="D49" s="224" t="s">
        <v>342</v>
      </c>
      <c r="E49" s="219" t="s">
        <v>251</v>
      </c>
      <c r="F49" s="311">
        <v>1</v>
      </c>
      <c r="G49" s="220">
        <v>1.2</v>
      </c>
      <c r="H49" s="220">
        <v>10</v>
      </c>
      <c r="I49" s="316">
        <v>12</v>
      </c>
      <c r="J49" s="316">
        <v>236</v>
      </c>
      <c r="K49" s="316">
        <v>1.7999999999999998</v>
      </c>
      <c r="L49" s="102">
        <f t="shared" si="11"/>
        <v>249.8</v>
      </c>
      <c r="M49" s="50">
        <f t="shared" si="12"/>
        <v>1.2</v>
      </c>
      <c r="N49" s="102">
        <f t="shared" si="13"/>
        <v>12</v>
      </c>
      <c r="O49" s="102">
        <f t="shared" si="14"/>
        <v>236</v>
      </c>
      <c r="P49" s="102">
        <f t="shared" si="15"/>
        <v>1.8</v>
      </c>
      <c r="Q49" s="103">
        <f t="shared" si="16"/>
        <v>249.8</v>
      </c>
      <c r="R49" s="805"/>
    </row>
    <row r="50" spans="1:18" s="56" customFormat="1">
      <c r="A50" s="217">
        <v>37</v>
      </c>
      <c r="B50" s="238"/>
      <c r="C50" s="705" t="s">
        <v>323</v>
      </c>
      <c r="D50" s="717" t="s">
        <v>1633</v>
      </c>
      <c r="E50" s="707" t="s">
        <v>251</v>
      </c>
      <c r="F50" s="708">
        <v>1</v>
      </c>
      <c r="G50" s="220">
        <v>1.2</v>
      </c>
      <c r="H50" s="220">
        <v>10</v>
      </c>
      <c r="I50" s="316">
        <v>12</v>
      </c>
      <c r="J50" s="316">
        <v>153.69</v>
      </c>
      <c r="K50" s="316">
        <v>1.7999999999999998</v>
      </c>
      <c r="L50" s="102">
        <f t="shared" si="11"/>
        <v>167.49</v>
      </c>
      <c r="M50" s="50">
        <f t="shared" si="12"/>
        <v>1.2</v>
      </c>
      <c r="N50" s="102">
        <f t="shared" si="13"/>
        <v>12</v>
      </c>
      <c r="O50" s="102">
        <f t="shared" si="14"/>
        <v>153.69</v>
      </c>
      <c r="P50" s="102">
        <f t="shared" si="15"/>
        <v>1.8</v>
      </c>
      <c r="Q50" s="103">
        <f t="shared" si="16"/>
        <v>167.49</v>
      </c>
      <c r="R50" s="805"/>
    </row>
    <row r="51" spans="1:18" s="56" customFormat="1">
      <c r="A51" s="217">
        <v>38</v>
      </c>
      <c r="B51" s="238"/>
      <c r="C51" s="705" t="s">
        <v>323</v>
      </c>
      <c r="D51" s="717" t="s">
        <v>1634</v>
      </c>
      <c r="E51" s="707" t="s">
        <v>251</v>
      </c>
      <c r="F51" s="708">
        <v>2</v>
      </c>
      <c r="G51" s="709">
        <v>1.2</v>
      </c>
      <c r="H51" s="715">
        <v>10</v>
      </c>
      <c r="I51" s="640">
        <f t="shared" ref="I51" si="21">ROUND(G51*H51,2)</f>
        <v>12</v>
      </c>
      <c r="J51" s="709">
        <v>220</v>
      </c>
      <c r="K51" s="377">
        <f t="shared" ref="K51" si="22">I51*0.15</f>
        <v>1.7999999999999998</v>
      </c>
      <c r="L51" s="102">
        <f t="shared" si="11"/>
        <v>233.8</v>
      </c>
      <c r="M51" s="50">
        <f t="shared" si="12"/>
        <v>2.4</v>
      </c>
      <c r="N51" s="102">
        <f t="shared" si="13"/>
        <v>24</v>
      </c>
      <c r="O51" s="102">
        <f t="shared" si="14"/>
        <v>440</v>
      </c>
      <c r="P51" s="102">
        <f t="shared" si="15"/>
        <v>3.6</v>
      </c>
      <c r="Q51" s="103">
        <f t="shared" si="16"/>
        <v>467.6</v>
      </c>
      <c r="R51" s="805"/>
    </row>
    <row r="52" spans="1:18" s="56" customFormat="1">
      <c r="A52" s="217">
        <v>39</v>
      </c>
      <c r="B52" s="238"/>
      <c r="C52" s="224" t="s">
        <v>323</v>
      </c>
      <c r="D52" s="224" t="s">
        <v>343</v>
      </c>
      <c r="E52" s="219" t="s">
        <v>251</v>
      </c>
      <c r="F52" s="311">
        <v>5</v>
      </c>
      <c r="G52" s="220">
        <v>1.2</v>
      </c>
      <c r="H52" s="220">
        <v>10</v>
      </c>
      <c r="I52" s="316">
        <v>12</v>
      </c>
      <c r="J52" s="316">
        <v>162.30000000000001</v>
      </c>
      <c r="K52" s="316">
        <v>1.7999999999999998</v>
      </c>
      <c r="L52" s="102">
        <f t="shared" si="11"/>
        <v>176.10000000000002</v>
      </c>
      <c r="M52" s="50">
        <f t="shared" si="12"/>
        <v>6</v>
      </c>
      <c r="N52" s="102">
        <f t="shared" si="13"/>
        <v>60</v>
      </c>
      <c r="O52" s="102">
        <f t="shared" si="14"/>
        <v>811.5</v>
      </c>
      <c r="P52" s="102">
        <f t="shared" si="15"/>
        <v>9</v>
      </c>
      <c r="Q52" s="103">
        <f t="shared" si="16"/>
        <v>880.5</v>
      </c>
      <c r="R52" s="805"/>
    </row>
    <row r="53" spans="1:18" s="56" customFormat="1">
      <c r="A53" s="217">
        <v>40</v>
      </c>
      <c r="B53" s="238"/>
      <c r="C53" s="224" t="s">
        <v>323</v>
      </c>
      <c r="D53" s="224" t="s">
        <v>344</v>
      </c>
      <c r="E53" s="219" t="s">
        <v>251</v>
      </c>
      <c r="F53" s="311">
        <v>1</v>
      </c>
      <c r="G53" s="220">
        <v>1.2</v>
      </c>
      <c r="H53" s="220">
        <v>10</v>
      </c>
      <c r="I53" s="316">
        <v>12</v>
      </c>
      <c r="J53" s="316">
        <v>228.5</v>
      </c>
      <c r="K53" s="316">
        <v>1.7999999999999998</v>
      </c>
      <c r="L53" s="102">
        <f t="shared" si="11"/>
        <v>242.3</v>
      </c>
      <c r="M53" s="50">
        <f t="shared" si="12"/>
        <v>1.2</v>
      </c>
      <c r="N53" s="102">
        <f t="shared" si="13"/>
        <v>12</v>
      </c>
      <c r="O53" s="102">
        <f t="shared" si="14"/>
        <v>228.5</v>
      </c>
      <c r="P53" s="102">
        <f t="shared" si="15"/>
        <v>1.8</v>
      </c>
      <c r="Q53" s="103">
        <f t="shared" si="16"/>
        <v>242.3</v>
      </c>
      <c r="R53" s="805"/>
    </row>
    <row r="54" spans="1:18" s="56" customFormat="1">
      <c r="A54" s="217">
        <v>41</v>
      </c>
      <c r="B54" s="238"/>
      <c r="C54" s="224" t="s">
        <v>323</v>
      </c>
      <c r="D54" s="224" t="s">
        <v>345</v>
      </c>
      <c r="E54" s="219" t="s">
        <v>251</v>
      </c>
      <c r="F54" s="311">
        <v>16</v>
      </c>
      <c r="G54" s="220">
        <v>1.2</v>
      </c>
      <c r="H54" s="220">
        <v>10</v>
      </c>
      <c r="I54" s="316">
        <v>12</v>
      </c>
      <c r="J54" s="316">
        <v>240</v>
      </c>
      <c r="K54" s="316">
        <v>1.7999999999999998</v>
      </c>
      <c r="L54" s="102">
        <f t="shared" si="11"/>
        <v>253.8</v>
      </c>
      <c r="M54" s="50">
        <f t="shared" si="12"/>
        <v>19.2</v>
      </c>
      <c r="N54" s="102">
        <f t="shared" si="13"/>
        <v>192</v>
      </c>
      <c r="O54" s="102">
        <f t="shared" si="14"/>
        <v>3840</v>
      </c>
      <c r="P54" s="102">
        <f t="shared" si="15"/>
        <v>28.8</v>
      </c>
      <c r="Q54" s="103">
        <f t="shared" si="16"/>
        <v>4060.8</v>
      </c>
      <c r="R54" s="805"/>
    </row>
    <row r="55" spans="1:18" s="56" customFormat="1">
      <c r="A55" s="217">
        <v>42</v>
      </c>
      <c r="B55" s="238"/>
      <c r="C55" s="224" t="s">
        <v>323</v>
      </c>
      <c r="D55" s="224" t="s">
        <v>346</v>
      </c>
      <c r="E55" s="219" t="s">
        <v>251</v>
      </c>
      <c r="F55" s="311">
        <v>1</v>
      </c>
      <c r="G55" s="220">
        <v>1.2</v>
      </c>
      <c r="H55" s="220">
        <v>10</v>
      </c>
      <c r="I55" s="316">
        <v>12</v>
      </c>
      <c r="J55" s="316">
        <v>208</v>
      </c>
      <c r="K55" s="316">
        <v>1.7999999999999998</v>
      </c>
      <c r="L55" s="102">
        <f t="shared" si="11"/>
        <v>221.8</v>
      </c>
      <c r="M55" s="50">
        <f t="shared" si="12"/>
        <v>1.2</v>
      </c>
      <c r="N55" s="102">
        <f t="shared" si="13"/>
        <v>12</v>
      </c>
      <c r="O55" s="102">
        <f t="shared" si="14"/>
        <v>208</v>
      </c>
      <c r="P55" s="102">
        <f t="shared" si="15"/>
        <v>1.8</v>
      </c>
      <c r="Q55" s="103">
        <f t="shared" si="16"/>
        <v>221.8</v>
      </c>
      <c r="R55" s="805"/>
    </row>
    <row r="56" spans="1:18" s="56" customFormat="1">
      <c r="A56" s="217">
        <v>43</v>
      </c>
      <c r="B56" s="238"/>
      <c r="C56" s="224" t="s">
        <v>323</v>
      </c>
      <c r="D56" s="224" t="s">
        <v>347</v>
      </c>
      <c r="E56" s="219" t="s">
        <v>251</v>
      </c>
      <c r="F56" s="311">
        <v>1</v>
      </c>
      <c r="G56" s="220">
        <v>1.2</v>
      </c>
      <c r="H56" s="220">
        <v>10</v>
      </c>
      <c r="I56" s="316">
        <v>12</v>
      </c>
      <c r="J56" s="316">
        <v>262.3</v>
      </c>
      <c r="K56" s="316">
        <v>1.7999999999999998</v>
      </c>
      <c r="L56" s="102">
        <f t="shared" si="11"/>
        <v>276.10000000000002</v>
      </c>
      <c r="M56" s="50">
        <f t="shared" si="12"/>
        <v>1.2</v>
      </c>
      <c r="N56" s="102">
        <f t="shared" si="13"/>
        <v>12</v>
      </c>
      <c r="O56" s="102">
        <f t="shared" si="14"/>
        <v>262.3</v>
      </c>
      <c r="P56" s="102">
        <f t="shared" si="15"/>
        <v>1.8</v>
      </c>
      <c r="Q56" s="103">
        <f t="shared" si="16"/>
        <v>276.10000000000002</v>
      </c>
      <c r="R56" s="805"/>
    </row>
    <row r="57" spans="1:18" s="56" customFormat="1">
      <c r="A57" s="217">
        <v>44</v>
      </c>
      <c r="B57" s="238"/>
      <c r="C57" s="224" t="s">
        <v>323</v>
      </c>
      <c r="D57" s="224" t="s">
        <v>348</v>
      </c>
      <c r="E57" s="219" t="s">
        <v>251</v>
      </c>
      <c r="F57" s="311">
        <v>15</v>
      </c>
      <c r="G57" s="220">
        <v>1.2</v>
      </c>
      <c r="H57" s="220">
        <v>10</v>
      </c>
      <c r="I57" s="316">
        <v>12</v>
      </c>
      <c r="J57" s="316">
        <v>236</v>
      </c>
      <c r="K57" s="316">
        <v>1.7999999999999998</v>
      </c>
      <c r="L57" s="102">
        <f t="shared" si="11"/>
        <v>249.8</v>
      </c>
      <c r="M57" s="50">
        <f t="shared" si="12"/>
        <v>18</v>
      </c>
      <c r="N57" s="102">
        <f t="shared" si="13"/>
        <v>180</v>
      </c>
      <c r="O57" s="102">
        <f t="shared" si="14"/>
        <v>3540</v>
      </c>
      <c r="P57" s="102">
        <f t="shared" si="15"/>
        <v>27</v>
      </c>
      <c r="Q57" s="103">
        <f t="shared" si="16"/>
        <v>3747</v>
      </c>
      <c r="R57" s="805"/>
    </row>
    <row r="58" spans="1:18" s="56" customFormat="1">
      <c r="A58" s="217">
        <v>45</v>
      </c>
      <c r="B58" s="238"/>
      <c r="C58" s="705" t="s">
        <v>323</v>
      </c>
      <c r="D58" s="717" t="s">
        <v>1635</v>
      </c>
      <c r="E58" s="707" t="s">
        <v>251</v>
      </c>
      <c r="F58" s="708">
        <v>1</v>
      </c>
      <c r="G58" s="709">
        <v>1.25</v>
      </c>
      <c r="H58" s="715">
        <v>10</v>
      </c>
      <c r="I58" s="640">
        <f t="shared" ref="I58:I60" si="23">ROUND(G58*H58,2)</f>
        <v>12.5</v>
      </c>
      <c r="J58" s="709">
        <v>248.25</v>
      </c>
      <c r="K58" s="377">
        <f t="shared" ref="K58:K60" si="24">I58*0.15</f>
        <v>1.875</v>
      </c>
      <c r="L58" s="102">
        <f t="shared" si="11"/>
        <v>262.625</v>
      </c>
      <c r="M58" s="50">
        <f t="shared" si="12"/>
        <v>1.25</v>
      </c>
      <c r="N58" s="102">
        <f t="shared" si="13"/>
        <v>12.5</v>
      </c>
      <c r="O58" s="102">
        <f t="shared" si="14"/>
        <v>248.25</v>
      </c>
      <c r="P58" s="102">
        <f t="shared" si="15"/>
        <v>1.88</v>
      </c>
      <c r="Q58" s="103">
        <f t="shared" si="16"/>
        <v>262.63</v>
      </c>
      <c r="R58" s="805"/>
    </row>
    <row r="59" spans="1:18" s="56" customFormat="1">
      <c r="A59" s="217">
        <v>46</v>
      </c>
      <c r="B59" s="238"/>
      <c r="C59" s="705" t="s">
        <v>323</v>
      </c>
      <c r="D59" s="717" t="s">
        <v>1636</v>
      </c>
      <c r="E59" s="707" t="s">
        <v>251</v>
      </c>
      <c r="F59" s="708">
        <v>1</v>
      </c>
      <c r="G59" s="709">
        <v>1.2</v>
      </c>
      <c r="H59" s="715">
        <v>10</v>
      </c>
      <c r="I59" s="640">
        <f t="shared" si="23"/>
        <v>12</v>
      </c>
      <c r="J59" s="709">
        <v>290</v>
      </c>
      <c r="K59" s="377">
        <f t="shared" si="24"/>
        <v>1.7999999999999998</v>
      </c>
      <c r="L59" s="102">
        <f t="shared" si="11"/>
        <v>303.8</v>
      </c>
      <c r="M59" s="50">
        <f t="shared" si="12"/>
        <v>1.2</v>
      </c>
      <c r="N59" s="102">
        <f t="shared" si="13"/>
        <v>12</v>
      </c>
      <c r="O59" s="102">
        <f t="shared" si="14"/>
        <v>290</v>
      </c>
      <c r="P59" s="102">
        <f t="shared" si="15"/>
        <v>1.8</v>
      </c>
      <c r="Q59" s="103">
        <f t="shared" si="16"/>
        <v>303.8</v>
      </c>
      <c r="R59" s="805"/>
    </row>
    <row r="60" spans="1:18" s="56" customFormat="1">
      <c r="A60" s="217">
        <v>47</v>
      </c>
      <c r="B60" s="238"/>
      <c r="C60" s="705" t="s">
        <v>323</v>
      </c>
      <c r="D60" s="717" t="s">
        <v>1637</v>
      </c>
      <c r="E60" s="707" t="s">
        <v>251</v>
      </c>
      <c r="F60" s="708">
        <v>10</v>
      </c>
      <c r="G60" s="709">
        <v>1.25</v>
      </c>
      <c r="H60" s="715">
        <v>10</v>
      </c>
      <c r="I60" s="640">
        <f t="shared" si="23"/>
        <v>12.5</v>
      </c>
      <c r="J60" s="709">
        <v>286.45</v>
      </c>
      <c r="K60" s="377">
        <f t="shared" si="24"/>
        <v>1.875</v>
      </c>
      <c r="L60" s="102">
        <f t="shared" si="11"/>
        <v>300.82499999999999</v>
      </c>
      <c r="M60" s="50">
        <f t="shared" si="12"/>
        <v>12.5</v>
      </c>
      <c r="N60" s="102">
        <f t="shared" si="13"/>
        <v>125</v>
      </c>
      <c r="O60" s="102">
        <f t="shared" si="14"/>
        <v>2864.5</v>
      </c>
      <c r="P60" s="102">
        <f t="shared" si="15"/>
        <v>18.75</v>
      </c>
      <c r="Q60" s="103">
        <f t="shared" si="16"/>
        <v>3008.25</v>
      </c>
      <c r="R60" s="805"/>
    </row>
    <row r="61" spans="1:18" s="56" customFormat="1">
      <c r="A61" s="217">
        <v>48</v>
      </c>
      <c r="B61" s="238"/>
      <c r="C61" s="224" t="s">
        <v>323</v>
      </c>
      <c r="D61" s="224" t="s">
        <v>349</v>
      </c>
      <c r="E61" s="219" t="s">
        <v>251</v>
      </c>
      <c r="F61" s="311">
        <v>10</v>
      </c>
      <c r="G61" s="220">
        <v>1.2</v>
      </c>
      <c r="H61" s="220">
        <v>10</v>
      </c>
      <c r="I61" s="316">
        <v>12</v>
      </c>
      <c r="J61" s="316">
        <v>277.5</v>
      </c>
      <c r="K61" s="316">
        <v>1.7999999999999998</v>
      </c>
      <c r="L61" s="102">
        <f t="shared" si="11"/>
        <v>291.3</v>
      </c>
      <c r="M61" s="50">
        <f t="shared" si="12"/>
        <v>12</v>
      </c>
      <c r="N61" s="102">
        <f t="shared" si="13"/>
        <v>120</v>
      </c>
      <c r="O61" s="102">
        <f t="shared" si="14"/>
        <v>2775</v>
      </c>
      <c r="P61" s="102">
        <f t="shared" si="15"/>
        <v>18</v>
      </c>
      <c r="Q61" s="103">
        <f t="shared" si="16"/>
        <v>2913</v>
      </c>
      <c r="R61" s="805"/>
    </row>
    <row r="62" spans="1:18" s="56" customFormat="1">
      <c r="A62" s="217">
        <v>49</v>
      </c>
      <c r="B62" s="238"/>
      <c r="C62" s="224" t="s">
        <v>323</v>
      </c>
      <c r="D62" s="224" t="s">
        <v>350</v>
      </c>
      <c r="E62" s="219" t="s">
        <v>251</v>
      </c>
      <c r="F62" s="311">
        <v>1</v>
      </c>
      <c r="G62" s="220">
        <v>1.2</v>
      </c>
      <c r="H62" s="220">
        <v>10</v>
      </c>
      <c r="I62" s="316">
        <v>12</v>
      </c>
      <c r="J62" s="316">
        <v>298.39999999999998</v>
      </c>
      <c r="K62" s="316">
        <v>1.7999999999999998</v>
      </c>
      <c r="L62" s="102">
        <f t="shared" si="11"/>
        <v>312.2</v>
      </c>
      <c r="M62" s="50">
        <f t="shared" si="12"/>
        <v>1.2</v>
      </c>
      <c r="N62" s="102">
        <f t="shared" si="13"/>
        <v>12</v>
      </c>
      <c r="O62" s="102">
        <f t="shared" si="14"/>
        <v>298.39999999999998</v>
      </c>
      <c r="P62" s="102">
        <f t="shared" si="15"/>
        <v>1.8</v>
      </c>
      <c r="Q62" s="103">
        <f t="shared" si="16"/>
        <v>312.2</v>
      </c>
      <c r="R62" s="805"/>
    </row>
    <row r="63" spans="1:18" s="56" customFormat="1">
      <c r="A63" s="217">
        <v>50</v>
      </c>
      <c r="B63" s="238"/>
      <c r="C63" s="705" t="s">
        <v>351</v>
      </c>
      <c r="D63" s="717" t="s">
        <v>1638</v>
      </c>
      <c r="E63" s="707" t="s">
        <v>118</v>
      </c>
      <c r="F63" s="708">
        <v>3</v>
      </c>
      <c r="G63" s="709">
        <v>1.3</v>
      </c>
      <c r="H63" s="715">
        <v>10</v>
      </c>
      <c r="I63" s="640">
        <f t="shared" ref="I63:I64" si="25">ROUND(G63*H63,2)</f>
        <v>13</v>
      </c>
      <c r="J63" s="709">
        <v>253</v>
      </c>
      <c r="K63" s="377">
        <f t="shared" ref="K63:K64" si="26">I63*0.15</f>
        <v>1.95</v>
      </c>
      <c r="L63" s="102">
        <f t="shared" si="11"/>
        <v>267.95</v>
      </c>
      <c r="M63" s="50">
        <f t="shared" si="12"/>
        <v>3.9</v>
      </c>
      <c r="N63" s="102">
        <f t="shared" si="13"/>
        <v>39</v>
      </c>
      <c r="O63" s="102">
        <f t="shared" si="14"/>
        <v>759</v>
      </c>
      <c r="P63" s="102">
        <f t="shared" si="15"/>
        <v>5.85</v>
      </c>
      <c r="Q63" s="103">
        <f t="shared" si="16"/>
        <v>803.85</v>
      </c>
      <c r="R63" s="805"/>
    </row>
    <row r="64" spans="1:18" s="56" customFormat="1">
      <c r="A64" s="217">
        <v>51</v>
      </c>
      <c r="B64" s="238"/>
      <c r="C64" s="705" t="s">
        <v>351</v>
      </c>
      <c r="D64" s="717" t="s">
        <v>1639</v>
      </c>
      <c r="E64" s="707" t="s">
        <v>118</v>
      </c>
      <c r="F64" s="708">
        <v>5</v>
      </c>
      <c r="G64" s="709">
        <v>1.3</v>
      </c>
      <c r="H64" s="715">
        <v>10</v>
      </c>
      <c r="I64" s="640">
        <f t="shared" si="25"/>
        <v>13</v>
      </c>
      <c r="J64" s="709">
        <v>286</v>
      </c>
      <c r="K64" s="377">
        <f t="shared" si="26"/>
        <v>1.95</v>
      </c>
      <c r="L64" s="102">
        <f t="shared" si="11"/>
        <v>300.95</v>
      </c>
      <c r="M64" s="50">
        <f t="shared" si="12"/>
        <v>6.5</v>
      </c>
      <c r="N64" s="102">
        <f t="shared" si="13"/>
        <v>65</v>
      </c>
      <c r="O64" s="102">
        <f t="shared" si="14"/>
        <v>1430</v>
      </c>
      <c r="P64" s="102">
        <f t="shared" si="15"/>
        <v>9.75</v>
      </c>
      <c r="Q64" s="103">
        <f t="shared" si="16"/>
        <v>1504.75</v>
      </c>
      <c r="R64" s="805"/>
    </row>
    <row r="65" spans="1:18" s="56" customFormat="1">
      <c r="A65" s="217">
        <v>52</v>
      </c>
      <c r="B65" s="238"/>
      <c r="C65" s="224" t="s">
        <v>351</v>
      </c>
      <c r="D65" s="224" t="s">
        <v>352</v>
      </c>
      <c r="E65" s="219" t="s">
        <v>118</v>
      </c>
      <c r="F65" s="311">
        <v>6</v>
      </c>
      <c r="G65" s="220">
        <v>1.3</v>
      </c>
      <c r="H65" s="220">
        <v>10</v>
      </c>
      <c r="I65" s="316">
        <v>13</v>
      </c>
      <c r="J65" s="316">
        <v>124</v>
      </c>
      <c r="K65" s="316">
        <v>1.95</v>
      </c>
      <c r="L65" s="102">
        <f t="shared" si="11"/>
        <v>138.94999999999999</v>
      </c>
      <c r="M65" s="50">
        <f t="shared" si="12"/>
        <v>7.8</v>
      </c>
      <c r="N65" s="102">
        <f t="shared" si="13"/>
        <v>78</v>
      </c>
      <c r="O65" s="102">
        <f t="shared" si="14"/>
        <v>744</v>
      </c>
      <c r="P65" s="102">
        <f t="shared" si="15"/>
        <v>11.7</v>
      </c>
      <c r="Q65" s="103">
        <f t="shared" si="16"/>
        <v>833.7</v>
      </c>
      <c r="R65" s="805"/>
    </row>
    <row r="66" spans="1:18" s="56" customFormat="1">
      <c r="A66" s="217">
        <v>53</v>
      </c>
      <c r="B66" s="238"/>
      <c r="C66" s="224" t="s">
        <v>351</v>
      </c>
      <c r="D66" s="224" t="s">
        <v>353</v>
      </c>
      <c r="E66" s="219" t="s">
        <v>118</v>
      </c>
      <c r="F66" s="311">
        <v>3</v>
      </c>
      <c r="G66" s="220">
        <v>1.6</v>
      </c>
      <c r="H66" s="220">
        <v>10</v>
      </c>
      <c r="I66" s="316">
        <v>16</v>
      </c>
      <c r="J66" s="316">
        <v>146</v>
      </c>
      <c r="K66" s="316">
        <v>2.4</v>
      </c>
      <c r="L66" s="102">
        <f t="shared" si="11"/>
        <v>164.4</v>
      </c>
      <c r="M66" s="50">
        <f t="shared" si="12"/>
        <v>4.8</v>
      </c>
      <c r="N66" s="102">
        <f t="shared" si="13"/>
        <v>48</v>
      </c>
      <c r="O66" s="102">
        <f t="shared" si="14"/>
        <v>438</v>
      </c>
      <c r="P66" s="102">
        <f t="shared" si="15"/>
        <v>7.2</v>
      </c>
      <c r="Q66" s="103">
        <f t="shared" si="16"/>
        <v>493.2</v>
      </c>
      <c r="R66" s="805"/>
    </row>
    <row r="67" spans="1:18" s="56" customFormat="1" ht="24.9">
      <c r="A67" s="217">
        <v>54</v>
      </c>
      <c r="B67" s="238"/>
      <c r="C67" s="224" t="s">
        <v>351</v>
      </c>
      <c r="D67" s="224" t="s">
        <v>354</v>
      </c>
      <c r="E67" s="219" t="s">
        <v>118</v>
      </c>
      <c r="F67" s="311">
        <v>6</v>
      </c>
      <c r="G67" s="220">
        <v>1.3</v>
      </c>
      <c r="H67" s="220">
        <v>10</v>
      </c>
      <c r="I67" s="316">
        <v>13</v>
      </c>
      <c r="J67" s="316">
        <v>126</v>
      </c>
      <c r="K67" s="316">
        <v>1.95</v>
      </c>
      <c r="L67" s="102">
        <f t="shared" si="11"/>
        <v>140.94999999999999</v>
      </c>
      <c r="M67" s="50">
        <f t="shared" si="12"/>
        <v>7.8</v>
      </c>
      <c r="N67" s="102">
        <f t="shared" si="13"/>
        <v>78</v>
      </c>
      <c r="O67" s="102">
        <f t="shared" si="14"/>
        <v>756</v>
      </c>
      <c r="P67" s="102">
        <f t="shared" si="15"/>
        <v>11.7</v>
      </c>
      <c r="Q67" s="103">
        <f t="shared" si="16"/>
        <v>845.7</v>
      </c>
      <c r="R67" s="805"/>
    </row>
    <row r="68" spans="1:18" s="56" customFormat="1" ht="24.9">
      <c r="A68" s="217">
        <v>55</v>
      </c>
      <c r="B68" s="238"/>
      <c r="C68" s="224" t="s">
        <v>351</v>
      </c>
      <c r="D68" s="224" t="s">
        <v>355</v>
      </c>
      <c r="E68" s="219" t="s">
        <v>118</v>
      </c>
      <c r="F68" s="311">
        <v>16</v>
      </c>
      <c r="G68" s="220">
        <v>1.6</v>
      </c>
      <c r="H68" s="220">
        <v>10</v>
      </c>
      <c r="I68" s="316">
        <v>16</v>
      </c>
      <c r="J68" s="316">
        <v>151</v>
      </c>
      <c r="K68" s="316">
        <v>2.4</v>
      </c>
      <c r="L68" s="102">
        <f t="shared" si="11"/>
        <v>169.4</v>
      </c>
      <c r="M68" s="50">
        <f t="shared" si="12"/>
        <v>25.6</v>
      </c>
      <c r="N68" s="102">
        <f t="shared" si="13"/>
        <v>256</v>
      </c>
      <c r="O68" s="102">
        <f t="shared" si="14"/>
        <v>2416</v>
      </c>
      <c r="P68" s="102">
        <f t="shared" si="15"/>
        <v>38.4</v>
      </c>
      <c r="Q68" s="103">
        <f t="shared" si="16"/>
        <v>2710.4</v>
      </c>
      <c r="R68" s="805"/>
    </row>
    <row r="69" spans="1:18" s="56" customFormat="1" ht="37.35">
      <c r="A69" s="217">
        <v>56</v>
      </c>
      <c r="B69" s="238"/>
      <c r="C69" s="224" t="s">
        <v>351</v>
      </c>
      <c r="D69" s="224" t="s">
        <v>356</v>
      </c>
      <c r="E69" s="219" t="s">
        <v>118</v>
      </c>
      <c r="F69" s="311">
        <v>1</v>
      </c>
      <c r="G69" s="220">
        <v>1.3</v>
      </c>
      <c r="H69" s="220">
        <v>10</v>
      </c>
      <c r="I69" s="316">
        <v>13</v>
      </c>
      <c r="J69" s="316">
        <v>107</v>
      </c>
      <c r="K69" s="316">
        <v>1.95</v>
      </c>
      <c r="L69" s="102">
        <f t="shared" si="11"/>
        <v>121.95</v>
      </c>
      <c r="M69" s="50">
        <f t="shared" si="12"/>
        <v>1.3</v>
      </c>
      <c r="N69" s="102">
        <f t="shared" si="13"/>
        <v>13</v>
      </c>
      <c r="O69" s="102">
        <f t="shared" si="14"/>
        <v>107</v>
      </c>
      <c r="P69" s="102">
        <f t="shared" si="15"/>
        <v>1.95</v>
      </c>
      <c r="Q69" s="103">
        <f t="shared" si="16"/>
        <v>121.95</v>
      </c>
      <c r="R69" s="805"/>
    </row>
    <row r="70" spans="1:18" s="56" customFormat="1" ht="37.35">
      <c r="A70" s="217">
        <v>57</v>
      </c>
      <c r="B70" s="238"/>
      <c r="C70" s="305" t="s">
        <v>351</v>
      </c>
      <c r="D70" s="719" t="s">
        <v>1640</v>
      </c>
      <c r="E70" s="306" t="s">
        <v>118</v>
      </c>
      <c r="F70" s="307">
        <v>5</v>
      </c>
      <c r="G70" s="704">
        <v>1.25</v>
      </c>
      <c r="H70" s="720">
        <v>10</v>
      </c>
      <c r="I70" s="241">
        <f t="shared" ref="I70:I71" si="27">ROUND(G70*H70,2)</f>
        <v>12.5</v>
      </c>
      <c r="J70" s="267">
        <v>218</v>
      </c>
      <c r="K70" s="721">
        <f t="shared" ref="K70:K71" si="28">I70*0.15</f>
        <v>1.875</v>
      </c>
      <c r="L70" s="102">
        <f t="shared" si="11"/>
        <v>232.375</v>
      </c>
      <c r="M70" s="50">
        <f t="shared" si="12"/>
        <v>6.25</v>
      </c>
      <c r="N70" s="102">
        <f t="shared" si="13"/>
        <v>62.5</v>
      </c>
      <c r="O70" s="102">
        <f t="shared" si="14"/>
        <v>1090</v>
      </c>
      <c r="P70" s="102">
        <f t="shared" si="15"/>
        <v>9.3800000000000008</v>
      </c>
      <c r="Q70" s="103">
        <f t="shared" si="16"/>
        <v>1161.8800000000001</v>
      </c>
      <c r="R70" s="805"/>
    </row>
    <row r="71" spans="1:18" s="56" customFormat="1" ht="37.35">
      <c r="A71" s="217">
        <v>58</v>
      </c>
      <c r="B71" s="238"/>
      <c r="C71" s="305" t="s">
        <v>351</v>
      </c>
      <c r="D71" s="719" t="s">
        <v>1641</v>
      </c>
      <c r="E71" s="306" t="s">
        <v>118</v>
      </c>
      <c r="F71" s="307">
        <v>1</v>
      </c>
      <c r="G71" s="722">
        <v>1.25</v>
      </c>
      <c r="H71" s="720">
        <v>10</v>
      </c>
      <c r="I71" s="241">
        <f t="shared" si="27"/>
        <v>12.5</v>
      </c>
      <c r="J71" s="267">
        <v>255</v>
      </c>
      <c r="K71" s="721">
        <f t="shared" si="28"/>
        <v>1.875</v>
      </c>
      <c r="L71" s="102">
        <f t="shared" si="11"/>
        <v>269.375</v>
      </c>
      <c r="M71" s="50">
        <f t="shared" si="12"/>
        <v>1.25</v>
      </c>
      <c r="N71" s="102">
        <f t="shared" si="13"/>
        <v>12.5</v>
      </c>
      <c r="O71" s="102">
        <f t="shared" si="14"/>
        <v>255</v>
      </c>
      <c r="P71" s="102">
        <f t="shared" si="15"/>
        <v>1.88</v>
      </c>
      <c r="Q71" s="103">
        <f t="shared" si="16"/>
        <v>269.38</v>
      </c>
      <c r="R71" s="805"/>
    </row>
    <row r="72" spans="1:18" s="56" customFormat="1">
      <c r="A72" s="217">
        <v>59</v>
      </c>
      <c r="B72" s="238"/>
      <c r="C72" s="224" t="s">
        <v>351</v>
      </c>
      <c r="D72" s="224" t="s">
        <v>357</v>
      </c>
      <c r="E72" s="219" t="s">
        <v>118</v>
      </c>
      <c r="F72" s="311">
        <v>2</v>
      </c>
      <c r="G72" s="220">
        <v>1.6</v>
      </c>
      <c r="H72" s="220">
        <v>10</v>
      </c>
      <c r="I72" s="316">
        <v>16</v>
      </c>
      <c r="J72" s="316">
        <v>28.54</v>
      </c>
      <c r="K72" s="316">
        <v>2.4</v>
      </c>
      <c r="L72" s="102">
        <f t="shared" si="11"/>
        <v>46.94</v>
      </c>
      <c r="M72" s="50">
        <f t="shared" si="12"/>
        <v>3.2</v>
      </c>
      <c r="N72" s="102">
        <f t="shared" si="13"/>
        <v>32</v>
      </c>
      <c r="O72" s="102">
        <f t="shared" si="14"/>
        <v>57.08</v>
      </c>
      <c r="P72" s="102">
        <f t="shared" si="15"/>
        <v>4.8</v>
      </c>
      <c r="Q72" s="103">
        <f t="shared" si="16"/>
        <v>93.88</v>
      </c>
      <c r="R72" s="805"/>
    </row>
    <row r="73" spans="1:18" s="56" customFormat="1">
      <c r="A73" s="217">
        <v>60</v>
      </c>
      <c r="B73" s="238"/>
      <c r="C73" s="705" t="s">
        <v>351</v>
      </c>
      <c r="D73" s="717" t="s">
        <v>1642</v>
      </c>
      <c r="E73" s="707" t="s">
        <v>118</v>
      </c>
      <c r="F73" s="708">
        <v>4</v>
      </c>
      <c r="G73" s="220">
        <v>1.6</v>
      </c>
      <c r="H73" s="220">
        <v>10</v>
      </c>
      <c r="I73" s="316">
        <v>16</v>
      </c>
      <c r="J73" s="316">
        <v>38.65</v>
      </c>
      <c r="K73" s="316">
        <v>2.4</v>
      </c>
      <c r="L73" s="102">
        <f t="shared" si="11"/>
        <v>57.05</v>
      </c>
      <c r="M73" s="50">
        <f t="shared" si="12"/>
        <v>6.4</v>
      </c>
      <c r="N73" s="102">
        <f t="shared" si="13"/>
        <v>64</v>
      </c>
      <c r="O73" s="102">
        <f t="shared" si="14"/>
        <v>154.6</v>
      </c>
      <c r="P73" s="102">
        <f t="shared" si="15"/>
        <v>9.6</v>
      </c>
      <c r="Q73" s="103">
        <f t="shared" si="16"/>
        <v>228.2</v>
      </c>
      <c r="R73" s="805"/>
    </row>
    <row r="74" spans="1:18" s="56" customFormat="1">
      <c r="A74" s="217">
        <v>61</v>
      </c>
      <c r="B74" s="238"/>
      <c r="C74" s="723" t="s">
        <v>358</v>
      </c>
      <c r="D74" s="723" t="s">
        <v>357</v>
      </c>
      <c r="E74" s="707" t="s">
        <v>118</v>
      </c>
      <c r="F74" s="708">
        <v>2</v>
      </c>
      <c r="G74" s="220">
        <v>1.6</v>
      </c>
      <c r="H74" s="220">
        <v>10</v>
      </c>
      <c r="I74" s="316">
        <v>16</v>
      </c>
      <c r="J74" s="316">
        <v>22.26</v>
      </c>
      <c r="K74" s="316">
        <v>2.4</v>
      </c>
      <c r="L74" s="102">
        <f t="shared" si="11"/>
        <v>40.660000000000004</v>
      </c>
      <c r="M74" s="50">
        <f t="shared" si="12"/>
        <v>3.2</v>
      </c>
      <c r="N74" s="102">
        <f t="shared" si="13"/>
        <v>32</v>
      </c>
      <c r="O74" s="102">
        <f t="shared" si="14"/>
        <v>44.52</v>
      </c>
      <c r="P74" s="102">
        <f t="shared" si="15"/>
        <v>4.8</v>
      </c>
      <c r="Q74" s="103">
        <f t="shared" si="16"/>
        <v>81.320000000000007</v>
      </c>
      <c r="R74" s="805"/>
    </row>
    <row r="75" spans="1:18" s="56" customFormat="1">
      <c r="A75" s="217">
        <v>62</v>
      </c>
      <c r="B75" s="238"/>
      <c r="C75" s="705" t="s">
        <v>358</v>
      </c>
      <c r="D75" s="717" t="s">
        <v>1642</v>
      </c>
      <c r="E75" s="707" t="s">
        <v>118</v>
      </c>
      <c r="F75" s="708">
        <v>2</v>
      </c>
      <c r="G75" s="220">
        <v>1.6</v>
      </c>
      <c r="H75" s="220">
        <v>10</v>
      </c>
      <c r="I75" s="316">
        <v>16</v>
      </c>
      <c r="J75" s="316">
        <v>34.22</v>
      </c>
      <c r="K75" s="316">
        <v>2.4</v>
      </c>
      <c r="L75" s="102">
        <f t="shared" si="11"/>
        <v>52.62</v>
      </c>
      <c r="M75" s="50">
        <f t="shared" si="12"/>
        <v>3.2</v>
      </c>
      <c r="N75" s="102">
        <f t="shared" si="13"/>
        <v>32</v>
      </c>
      <c r="O75" s="102">
        <f t="shared" si="14"/>
        <v>68.44</v>
      </c>
      <c r="P75" s="102">
        <f t="shared" si="15"/>
        <v>4.8</v>
      </c>
      <c r="Q75" s="103">
        <f t="shared" si="16"/>
        <v>105.24</v>
      </c>
      <c r="R75" s="805"/>
    </row>
    <row r="76" spans="1:18" s="56" customFormat="1">
      <c r="A76" s="217">
        <v>63</v>
      </c>
      <c r="B76" s="238"/>
      <c r="C76" s="705" t="s">
        <v>358</v>
      </c>
      <c r="D76" s="717" t="s">
        <v>1643</v>
      </c>
      <c r="E76" s="707" t="s">
        <v>118</v>
      </c>
      <c r="F76" s="708">
        <v>2</v>
      </c>
      <c r="G76" s="220">
        <v>1.6</v>
      </c>
      <c r="H76" s="220">
        <v>10</v>
      </c>
      <c r="I76" s="316">
        <v>16</v>
      </c>
      <c r="J76" s="316">
        <v>68.98</v>
      </c>
      <c r="K76" s="316">
        <v>2.4</v>
      </c>
      <c r="L76" s="102">
        <f t="shared" si="11"/>
        <v>87.38000000000001</v>
      </c>
      <c r="M76" s="50">
        <f t="shared" si="12"/>
        <v>3.2</v>
      </c>
      <c r="N76" s="102">
        <f t="shared" si="13"/>
        <v>32</v>
      </c>
      <c r="O76" s="102">
        <f t="shared" si="14"/>
        <v>137.96</v>
      </c>
      <c r="P76" s="102">
        <f t="shared" si="15"/>
        <v>4.8</v>
      </c>
      <c r="Q76" s="103">
        <f t="shared" si="16"/>
        <v>174.76000000000002</v>
      </c>
      <c r="R76" s="805"/>
    </row>
    <row r="77" spans="1:18" s="56" customFormat="1">
      <c r="A77" s="217">
        <v>64</v>
      </c>
      <c r="B77" s="238"/>
      <c r="C77" s="705" t="s">
        <v>358</v>
      </c>
      <c r="D77" s="717" t="s">
        <v>1644</v>
      </c>
      <c r="E77" s="707" t="s">
        <v>118</v>
      </c>
      <c r="F77" s="708">
        <v>1</v>
      </c>
      <c r="G77" s="709">
        <v>1.6</v>
      </c>
      <c r="H77" s="715">
        <v>10</v>
      </c>
      <c r="I77" s="640">
        <f t="shared" ref="I77" si="29">ROUND(G77*H77,2)</f>
        <v>16</v>
      </c>
      <c r="J77" s="709">
        <v>126.52</v>
      </c>
      <c r="K77" s="377">
        <f t="shared" ref="K77" si="30">I77*0.15</f>
        <v>2.4</v>
      </c>
      <c r="L77" s="102">
        <f t="shared" si="11"/>
        <v>144.91999999999999</v>
      </c>
      <c r="M77" s="50">
        <f t="shared" si="12"/>
        <v>1.6</v>
      </c>
      <c r="N77" s="102">
        <f t="shared" si="13"/>
        <v>16</v>
      </c>
      <c r="O77" s="102">
        <f t="shared" si="14"/>
        <v>126.52</v>
      </c>
      <c r="P77" s="102">
        <f t="shared" si="15"/>
        <v>2.4</v>
      </c>
      <c r="Q77" s="103">
        <f t="shared" si="16"/>
        <v>144.91999999999999</v>
      </c>
      <c r="R77" s="805"/>
    </row>
    <row r="78" spans="1:18" s="56" customFormat="1">
      <c r="A78" s="217">
        <v>65</v>
      </c>
      <c r="B78" s="238"/>
      <c r="C78" s="224" t="s">
        <v>358</v>
      </c>
      <c r="D78" s="224" t="s">
        <v>359</v>
      </c>
      <c r="E78" s="219" t="s">
        <v>118</v>
      </c>
      <c r="F78" s="311">
        <v>6</v>
      </c>
      <c r="G78" s="220">
        <v>1.6</v>
      </c>
      <c r="H78" s="220">
        <v>10</v>
      </c>
      <c r="I78" s="316">
        <v>16</v>
      </c>
      <c r="J78" s="316">
        <v>131.62</v>
      </c>
      <c r="K78" s="316">
        <v>2.4</v>
      </c>
      <c r="L78" s="102">
        <f t="shared" ref="L78:L109" si="31">SUM(I78:K78)</f>
        <v>150.02000000000001</v>
      </c>
      <c r="M78" s="50">
        <f t="shared" si="12"/>
        <v>9.6</v>
      </c>
      <c r="N78" s="102">
        <f t="shared" si="13"/>
        <v>96</v>
      </c>
      <c r="O78" s="102">
        <f t="shared" si="14"/>
        <v>789.72</v>
      </c>
      <c r="P78" s="102">
        <f t="shared" si="15"/>
        <v>14.4</v>
      </c>
      <c r="Q78" s="103">
        <f t="shared" si="16"/>
        <v>900.12</v>
      </c>
      <c r="R78" s="805"/>
    </row>
    <row r="79" spans="1:18" s="56" customFormat="1">
      <c r="A79" s="217">
        <v>66</v>
      </c>
      <c r="B79" s="238"/>
      <c r="C79" s="224" t="s">
        <v>358</v>
      </c>
      <c r="D79" s="224" t="s">
        <v>360</v>
      </c>
      <c r="E79" s="219" t="s">
        <v>118</v>
      </c>
      <c r="F79" s="311">
        <v>1</v>
      </c>
      <c r="G79" s="220">
        <v>1.6</v>
      </c>
      <c r="H79" s="220">
        <v>10</v>
      </c>
      <c r="I79" s="316">
        <v>16</v>
      </c>
      <c r="J79" s="316">
        <v>310</v>
      </c>
      <c r="K79" s="316">
        <v>2.4</v>
      </c>
      <c r="L79" s="102">
        <f t="shared" si="31"/>
        <v>328.4</v>
      </c>
      <c r="M79" s="50">
        <f t="shared" si="12"/>
        <v>1.6</v>
      </c>
      <c r="N79" s="102">
        <f t="shared" si="13"/>
        <v>16</v>
      </c>
      <c r="O79" s="102">
        <f t="shared" si="14"/>
        <v>310</v>
      </c>
      <c r="P79" s="102">
        <f t="shared" si="15"/>
        <v>2.4</v>
      </c>
      <c r="Q79" s="103">
        <f t="shared" si="16"/>
        <v>328.4</v>
      </c>
      <c r="R79" s="805"/>
    </row>
    <row r="80" spans="1:18" s="56" customFormat="1" ht="37.35">
      <c r="A80" s="217">
        <v>67</v>
      </c>
      <c r="B80" s="238"/>
      <c r="C80" s="224" t="s">
        <v>358</v>
      </c>
      <c r="D80" s="224" t="s">
        <v>361</v>
      </c>
      <c r="E80" s="219" t="s">
        <v>118</v>
      </c>
      <c r="F80" s="311">
        <v>1</v>
      </c>
      <c r="G80" s="220">
        <v>1.6</v>
      </c>
      <c r="H80" s="220">
        <v>10</v>
      </c>
      <c r="I80" s="316">
        <v>16</v>
      </c>
      <c r="J80" s="316">
        <v>130</v>
      </c>
      <c r="K80" s="316">
        <v>2.4</v>
      </c>
      <c r="L80" s="102">
        <f t="shared" si="31"/>
        <v>148.4</v>
      </c>
      <c r="M80" s="50">
        <f t="shared" si="12"/>
        <v>1.6</v>
      </c>
      <c r="N80" s="102">
        <f t="shared" si="13"/>
        <v>16</v>
      </c>
      <c r="O80" s="102">
        <f t="shared" si="14"/>
        <v>130</v>
      </c>
      <c r="P80" s="102">
        <f t="shared" si="15"/>
        <v>2.4</v>
      </c>
      <c r="Q80" s="103">
        <f t="shared" si="16"/>
        <v>148.4</v>
      </c>
      <c r="R80" s="805"/>
    </row>
    <row r="81" spans="1:18" s="56" customFormat="1">
      <c r="A81" s="217">
        <v>68</v>
      </c>
      <c r="B81" s="238"/>
      <c r="C81" s="224" t="s">
        <v>358</v>
      </c>
      <c r="D81" s="224" t="s">
        <v>352</v>
      </c>
      <c r="E81" s="219" t="s">
        <v>118</v>
      </c>
      <c r="F81" s="311">
        <v>6</v>
      </c>
      <c r="G81" s="220">
        <v>1.6</v>
      </c>
      <c r="H81" s="220">
        <v>10</v>
      </c>
      <c r="I81" s="316">
        <v>16</v>
      </c>
      <c r="J81" s="316">
        <v>124</v>
      </c>
      <c r="K81" s="316">
        <v>2.4</v>
      </c>
      <c r="L81" s="102">
        <f t="shared" si="31"/>
        <v>142.4</v>
      </c>
      <c r="M81" s="50">
        <f t="shared" si="12"/>
        <v>9.6</v>
      </c>
      <c r="N81" s="102">
        <f t="shared" si="13"/>
        <v>96</v>
      </c>
      <c r="O81" s="102">
        <f t="shared" si="14"/>
        <v>744</v>
      </c>
      <c r="P81" s="102">
        <f t="shared" si="15"/>
        <v>14.4</v>
      </c>
      <c r="Q81" s="103">
        <f t="shared" si="16"/>
        <v>854.4</v>
      </c>
      <c r="R81" s="805"/>
    </row>
    <row r="82" spans="1:18" s="56" customFormat="1">
      <c r="A82" s="217">
        <v>69</v>
      </c>
      <c r="B82" s="238"/>
      <c r="C82" s="224" t="s">
        <v>358</v>
      </c>
      <c r="D82" s="224" t="s">
        <v>353</v>
      </c>
      <c r="E82" s="219" t="s">
        <v>118</v>
      </c>
      <c r="F82" s="311">
        <v>3</v>
      </c>
      <c r="G82" s="220">
        <v>1.6</v>
      </c>
      <c r="H82" s="220">
        <v>10</v>
      </c>
      <c r="I82" s="316">
        <v>16</v>
      </c>
      <c r="J82" s="316">
        <v>146</v>
      </c>
      <c r="K82" s="316">
        <v>2.4</v>
      </c>
      <c r="L82" s="102">
        <f t="shared" si="31"/>
        <v>164.4</v>
      </c>
      <c r="M82" s="50">
        <f t="shared" si="12"/>
        <v>4.8</v>
      </c>
      <c r="N82" s="102">
        <f t="shared" si="13"/>
        <v>48</v>
      </c>
      <c r="O82" s="102">
        <f t="shared" si="14"/>
        <v>438</v>
      </c>
      <c r="P82" s="102">
        <f t="shared" si="15"/>
        <v>7.2</v>
      </c>
      <c r="Q82" s="103">
        <f t="shared" si="16"/>
        <v>493.2</v>
      </c>
      <c r="R82" s="805"/>
    </row>
    <row r="83" spans="1:18" s="56" customFormat="1" ht="24.9">
      <c r="A83" s="217">
        <v>70</v>
      </c>
      <c r="B83" s="238"/>
      <c r="C83" s="224" t="s">
        <v>358</v>
      </c>
      <c r="D83" s="224" t="s">
        <v>362</v>
      </c>
      <c r="E83" s="219" t="s">
        <v>118</v>
      </c>
      <c r="F83" s="311">
        <v>13</v>
      </c>
      <c r="G83" s="220">
        <v>1.6</v>
      </c>
      <c r="H83" s="220">
        <v>10</v>
      </c>
      <c r="I83" s="316">
        <v>16</v>
      </c>
      <c r="J83" s="316">
        <v>116</v>
      </c>
      <c r="K83" s="316">
        <v>2.4</v>
      </c>
      <c r="L83" s="102">
        <f t="shared" si="31"/>
        <v>134.4</v>
      </c>
      <c r="M83" s="50">
        <f t="shared" si="12"/>
        <v>20.8</v>
      </c>
      <c r="N83" s="102">
        <f t="shared" si="13"/>
        <v>208</v>
      </c>
      <c r="O83" s="102">
        <f t="shared" si="14"/>
        <v>1508</v>
      </c>
      <c r="P83" s="102">
        <f t="shared" si="15"/>
        <v>31.2</v>
      </c>
      <c r="Q83" s="103">
        <f t="shared" si="16"/>
        <v>1747.2</v>
      </c>
      <c r="R83" s="805"/>
    </row>
    <row r="84" spans="1:18" s="56" customFormat="1" ht="24.9">
      <c r="A84" s="217">
        <v>71</v>
      </c>
      <c r="B84" s="238"/>
      <c r="C84" s="224" t="s">
        <v>358</v>
      </c>
      <c r="D84" s="224" t="s">
        <v>363</v>
      </c>
      <c r="E84" s="219" t="s">
        <v>118</v>
      </c>
      <c r="F84" s="311">
        <v>8</v>
      </c>
      <c r="G84" s="220">
        <v>1.6</v>
      </c>
      <c r="H84" s="220">
        <v>10</v>
      </c>
      <c r="I84" s="316">
        <v>16</v>
      </c>
      <c r="J84" s="316">
        <v>130</v>
      </c>
      <c r="K84" s="316">
        <v>2.4</v>
      </c>
      <c r="L84" s="102">
        <f t="shared" si="31"/>
        <v>148.4</v>
      </c>
      <c r="M84" s="50">
        <f t="shared" si="12"/>
        <v>12.8</v>
      </c>
      <c r="N84" s="102">
        <f t="shared" si="13"/>
        <v>128</v>
      </c>
      <c r="O84" s="102">
        <f t="shared" si="14"/>
        <v>1040</v>
      </c>
      <c r="P84" s="102">
        <f t="shared" si="15"/>
        <v>19.2</v>
      </c>
      <c r="Q84" s="103">
        <f t="shared" si="16"/>
        <v>1187.2</v>
      </c>
      <c r="R84" s="805"/>
    </row>
    <row r="85" spans="1:18" s="56" customFormat="1">
      <c r="A85" s="217">
        <v>72</v>
      </c>
      <c r="B85" s="238"/>
      <c r="C85" s="224" t="s">
        <v>358</v>
      </c>
      <c r="D85" s="224" t="s">
        <v>364</v>
      </c>
      <c r="E85" s="219" t="s">
        <v>118</v>
      </c>
      <c r="F85" s="311">
        <v>7</v>
      </c>
      <c r="G85" s="220">
        <v>1.2</v>
      </c>
      <c r="H85" s="220">
        <v>10</v>
      </c>
      <c r="I85" s="316">
        <v>12</v>
      </c>
      <c r="J85" s="316">
        <v>3.49</v>
      </c>
      <c r="K85" s="316">
        <v>1.7999999999999998</v>
      </c>
      <c r="L85" s="102">
        <f t="shared" si="31"/>
        <v>17.29</v>
      </c>
      <c r="M85" s="50">
        <f t="shared" si="12"/>
        <v>8.4</v>
      </c>
      <c r="N85" s="102">
        <f t="shared" si="13"/>
        <v>84</v>
      </c>
      <c r="O85" s="102">
        <f t="shared" si="14"/>
        <v>24.43</v>
      </c>
      <c r="P85" s="102">
        <f t="shared" si="15"/>
        <v>12.6</v>
      </c>
      <c r="Q85" s="103">
        <f t="shared" si="16"/>
        <v>121.03</v>
      </c>
      <c r="R85" s="805"/>
    </row>
    <row r="86" spans="1:18" s="56" customFormat="1">
      <c r="A86" s="217">
        <v>73</v>
      </c>
      <c r="B86" s="238"/>
      <c r="C86" s="224" t="s">
        <v>358</v>
      </c>
      <c r="D86" s="224" t="s">
        <v>365</v>
      </c>
      <c r="E86" s="219" t="s">
        <v>118</v>
      </c>
      <c r="F86" s="311">
        <v>18</v>
      </c>
      <c r="G86" s="220">
        <v>1.2</v>
      </c>
      <c r="H86" s="220">
        <v>10</v>
      </c>
      <c r="I86" s="316">
        <v>12</v>
      </c>
      <c r="J86" s="316">
        <v>3.94</v>
      </c>
      <c r="K86" s="316">
        <v>1.7999999999999998</v>
      </c>
      <c r="L86" s="102">
        <f t="shared" si="31"/>
        <v>17.739999999999998</v>
      </c>
      <c r="M86" s="50">
        <f t="shared" si="12"/>
        <v>21.6</v>
      </c>
      <c r="N86" s="102">
        <f t="shared" si="13"/>
        <v>216</v>
      </c>
      <c r="O86" s="102">
        <f t="shared" si="14"/>
        <v>70.92</v>
      </c>
      <c r="P86" s="102">
        <f t="shared" si="15"/>
        <v>32.4</v>
      </c>
      <c r="Q86" s="103">
        <f t="shared" si="16"/>
        <v>319.32</v>
      </c>
      <c r="R86" s="805"/>
    </row>
    <row r="87" spans="1:18" s="56" customFormat="1">
      <c r="A87" s="217">
        <v>74</v>
      </c>
      <c r="B87" s="238"/>
      <c r="C87" s="224" t="s">
        <v>366</v>
      </c>
      <c r="D87" s="224" t="s">
        <v>367</v>
      </c>
      <c r="E87" s="219" t="s">
        <v>118</v>
      </c>
      <c r="F87" s="311">
        <v>4</v>
      </c>
      <c r="G87" s="220">
        <v>1.8</v>
      </c>
      <c r="H87" s="220">
        <v>10</v>
      </c>
      <c r="I87" s="316">
        <v>18</v>
      </c>
      <c r="J87" s="316">
        <v>422.02</v>
      </c>
      <c r="K87" s="316">
        <v>2.6999999999999997</v>
      </c>
      <c r="L87" s="102">
        <f t="shared" si="31"/>
        <v>442.71999999999997</v>
      </c>
      <c r="M87" s="50">
        <f t="shared" si="12"/>
        <v>7.2</v>
      </c>
      <c r="N87" s="102">
        <f t="shared" si="13"/>
        <v>72</v>
      </c>
      <c r="O87" s="102">
        <f t="shared" si="14"/>
        <v>1688.08</v>
      </c>
      <c r="P87" s="102">
        <f t="shared" si="15"/>
        <v>10.8</v>
      </c>
      <c r="Q87" s="103">
        <f t="shared" si="16"/>
        <v>1770.8799999999999</v>
      </c>
      <c r="R87" s="805"/>
    </row>
    <row r="88" spans="1:18" s="56" customFormat="1">
      <c r="A88" s="217">
        <v>75</v>
      </c>
      <c r="B88" s="238"/>
      <c r="C88" s="705" t="s">
        <v>368</v>
      </c>
      <c r="D88" s="717" t="s">
        <v>1645</v>
      </c>
      <c r="E88" s="707" t="s">
        <v>118</v>
      </c>
      <c r="F88" s="708">
        <v>1</v>
      </c>
      <c r="G88" s="220">
        <v>1.6</v>
      </c>
      <c r="H88" s="220">
        <v>10</v>
      </c>
      <c r="I88" s="724">
        <v>16</v>
      </c>
      <c r="J88" s="724">
        <v>105.22</v>
      </c>
      <c r="K88" s="724">
        <v>2.4</v>
      </c>
      <c r="L88" s="102">
        <f t="shared" si="31"/>
        <v>123.62</v>
      </c>
      <c r="M88" s="50">
        <f t="shared" si="12"/>
        <v>1.6</v>
      </c>
      <c r="N88" s="102">
        <f t="shared" si="13"/>
        <v>16</v>
      </c>
      <c r="O88" s="102">
        <f t="shared" si="14"/>
        <v>105.22</v>
      </c>
      <c r="P88" s="102">
        <f t="shared" si="15"/>
        <v>2.4</v>
      </c>
      <c r="Q88" s="103">
        <f t="shared" si="16"/>
        <v>123.62</v>
      </c>
      <c r="R88" s="805"/>
    </row>
    <row r="89" spans="1:18" s="56" customFormat="1">
      <c r="A89" s="217">
        <v>76</v>
      </c>
      <c r="B89" s="238"/>
      <c r="C89" s="224" t="s">
        <v>368</v>
      </c>
      <c r="D89" s="224" t="s">
        <v>369</v>
      </c>
      <c r="E89" s="219" t="s">
        <v>118</v>
      </c>
      <c r="F89" s="311">
        <v>1</v>
      </c>
      <c r="G89" s="220">
        <v>1.8</v>
      </c>
      <c r="H89" s="220">
        <v>10</v>
      </c>
      <c r="I89" s="316">
        <v>18</v>
      </c>
      <c r="J89" s="316">
        <v>268</v>
      </c>
      <c r="K89" s="316">
        <v>2.6999999999999997</v>
      </c>
      <c r="L89" s="102">
        <f t="shared" si="31"/>
        <v>288.7</v>
      </c>
      <c r="M89" s="50">
        <f t="shared" si="12"/>
        <v>1.8</v>
      </c>
      <c r="N89" s="102">
        <f t="shared" si="13"/>
        <v>18</v>
      </c>
      <c r="O89" s="102">
        <f t="shared" si="14"/>
        <v>268</v>
      </c>
      <c r="P89" s="102">
        <f t="shared" si="15"/>
        <v>2.7</v>
      </c>
      <c r="Q89" s="103">
        <f t="shared" si="16"/>
        <v>288.7</v>
      </c>
      <c r="R89" s="805"/>
    </row>
    <row r="90" spans="1:18" s="56" customFormat="1">
      <c r="A90" s="217">
        <v>77</v>
      </c>
      <c r="B90" s="238"/>
      <c r="C90" s="224" t="s">
        <v>368</v>
      </c>
      <c r="D90" s="224" t="s">
        <v>370</v>
      </c>
      <c r="E90" s="219" t="s">
        <v>118</v>
      </c>
      <c r="F90" s="311">
        <v>1</v>
      </c>
      <c r="G90" s="220">
        <v>1.8</v>
      </c>
      <c r="H90" s="220">
        <v>10</v>
      </c>
      <c r="I90" s="316">
        <v>18</v>
      </c>
      <c r="J90" s="316">
        <v>382</v>
      </c>
      <c r="K90" s="316">
        <v>2.6999999999999997</v>
      </c>
      <c r="L90" s="102">
        <f t="shared" si="31"/>
        <v>402.7</v>
      </c>
      <c r="M90" s="50">
        <f t="shared" si="12"/>
        <v>1.8</v>
      </c>
      <c r="N90" s="102">
        <f t="shared" si="13"/>
        <v>18</v>
      </c>
      <c r="O90" s="102">
        <f t="shared" si="14"/>
        <v>382</v>
      </c>
      <c r="P90" s="102">
        <f t="shared" si="15"/>
        <v>2.7</v>
      </c>
      <c r="Q90" s="103">
        <f t="shared" si="16"/>
        <v>402.7</v>
      </c>
      <c r="R90" s="805"/>
    </row>
    <row r="91" spans="1:18" s="56" customFormat="1">
      <c r="A91" s="217">
        <v>78</v>
      </c>
      <c r="B91" s="238"/>
      <c r="C91" s="224" t="s">
        <v>368</v>
      </c>
      <c r="D91" s="224" t="s">
        <v>371</v>
      </c>
      <c r="E91" s="219" t="s">
        <v>118</v>
      </c>
      <c r="F91" s="311">
        <v>2</v>
      </c>
      <c r="G91" s="220">
        <v>1.6</v>
      </c>
      <c r="H91" s="220">
        <v>10</v>
      </c>
      <c r="I91" s="316">
        <v>16</v>
      </c>
      <c r="J91" s="316">
        <v>466.6</v>
      </c>
      <c r="K91" s="316">
        <v>2.4</v>
      </c>
      <c r="L91" s="102">
        <f t="shared" si="31"/>
        <v>485</v>
      </c>
      <c r="M91" s="50">
        <f t="shared" si="12"/>
        <v>3.2</v>
      </c>
      <c r="N91" s="102">
        <f t="shared" si="13"/>
        <v>32</v>
      </c>
      <c r="O91" s="102">
        <f t="shared" si="14"/>
        <v>933.2</v>
      </c>
      <c r="P91" s="102">
        <f t="shared" si="15"/>
        <v>4.8</v>
      </c>
      <c r="Q91" s="103">
        <f t="shared" si="16"/>
        <v>970</v>
      </c>
      <c r="R91" s="805"/>
    </row>
    <row r="92" spans="1:18" s="56" customFormat="1">
      <c r="A92" s="217">
        <v>79</v>
      </c>
      <c r="B92" s="238"/>
      <c r="C92" s="224" t="s">
        <v>372</v>
      </c>
      <c r="D92" s="224" t="s">
        <v>373</v>
      </c>
      <c r="E92" s="219" t="s">
        <v>118</v>
      </c>
      <c r="F92" s="311">
        <v>1</v>
      </c>
      <c r="G92" s="220">
        <v>2.4</v>
      </c>
      <c r="H92" s="220">
        <v>10</v>
      </c>
      <c r="I92" s="316">
        <v>24</v>
      </c>
      <c r="J92" s="316">
        <v>183</v>
      </c>
      <c r="K92" s="316">
        <v>3.5999999999999996</v>
      </c>
      <c r="L92" s="102">
        <f t="shared" si="31"/>
        <v>210.6</v>
      </c>
      <c r="M92" s="50">
        <f t="shared" si="12"/>
        <v>2.4</v>
      </c>
      <c r="N92" s="102">
        <f t="shared" si="13"/>
        <v>24</v>
      </c>
      <c r="O92" s="102">
        <f t="shared" si="14"/>
        <v>183</v>
      </c>
      <c r="P92" s="102">
        <f t="shared" si="15"/>
        <v>3.6</v>
      </c>
      <c r="Q92" s="103">
        <f t="shared" si="16"/>
        <v>210.6</v>
      </c>
      <c r="R92" s="805"/>
    </row>
    <row r="93" spans="1:18" s="56" customFormat="1">
      <c r="A93" s="217">
        <v>80</v>
      </c>
      <c r="B93" s="238"/>
      <c r="C93" s="224" t="s">
        <v>372</v>
      </c>
      <c r="D93" s="224" t="s">
        <v>374</v>
      </c>
      <c r="E93" s="219" t="s">
        <v>118</v>
      </c>
      <c r="F93" s="311">
        <v>1</v>
      </c>
      <c r="G93" s="220">
        <v>2.4</v>
      </c>
      <c r="H93" s="220">
        <v>10</v>
      </c>
      <c r="I93" s="316">
        <v>24</v>
      </c>
      <c r="J93" s="316">
        <v>201</v>
      </c>
      <c r="K93" s="316">
        <v>3.5999999999999996</v>
      </c>
      <c r="L93" s="102">
        <f t="shared" si="31"/>
        <v>228.6</v>
      </c>
      <c r="M93" s="50">
        <f t="shared" si="12"/>
        <v>2.4</v>
      </c>
      <c r="N93" s="102">
        <f t="shared" si="13"/>
        <v>24</v>
      </c>
      <c r="O93" s="102">
        <f t="shared" si="14"/>
        <v>201</v>
      </c>
      <c r="P93" s="102">
        <f t="shared" si="15"/>
        <v>3.6</v>
      </c>
      <c r="Q93" s="103">
        <f t="shared" si="16"/>
        <v>228.6</v>
      </c>
      <c r="R93" s="805"/>
    </row>
    <row r="94" spans="1:18" s="56" customFormat="1">
      <c r="A94" s="217">
        <v>81</v>
      </c>
      <c r="B94" s="238"/>
      <c r="C94" s="705" t="s">
        <v>372</v>
      </c>
      <c r="D94" s="717" t="s">
        <v>1646</v>
      </c>
      <c r="E94" s="707" t="s">
        <v>118</v>
      </c>
      <c r="F94" s="708">
        <v>1</v>
      </c>
      <c r="G94" s="709">
        <v>1.3</v>
      </c>
      <c r="H94" s="715">
        <v>10</v>
      </c>
      <c r="I94" s="640">
        <f t="shared" ref="I94:I95" si="32">ROUND(G94*H94,2)</f>
        <v>13</v>
      </c>
      <c r="J94" s="709">
        <v>382</v>
      </c>
      <c r="K94" s="377">
        <f t="shared" ref="K94:K95" si="33">I94*0.15</f>
        <v>1.95</v>
      </c>
      <c r="L94" s="102">
        <f t="shared" si="31"/>
        <v>396.95</v>
      </c>
      <c r="M94" s="50">
        <f t="shared" si="12"/>
        <v>1.3</v>
      </c>
      <c r="N94" s="102">
        <f t="shared" si="13"/>
        <v>13</v>
      </c>
      <c r="O94" s="102">
        <f t="shared" si="14"/>
        <v>382</v>
      </c>
      <c r="P94" s="102">
        <f t="shared" si="15"/>
        <v>1.95</v>
      </c>
      <c r="Q94" s="103">
        <f t="shared" si="16"/>
        <v>396.95</v>
      </c>
      <c r="R94" s="805"/>
    </row>
    <row r="95" spans="1:18" s="56" customFormat="1">
      <c r="A95" s="217">
        <v>82</v>
      </c>
      <c r="B95" s="238"/>
      <c r="C95" s="705" t="s">
        <v>372</v>
      </c>
      <c r="D95" s="717" t="s">
        <v>1647</v>
      </c>
      <c r="E95" s="707" t="s">
        <v>118</v>
      </c>
      <c r="F95" s="708">
        <v>1</v>
      </c>
      <c r="G95" s="709">
        <v>1.3</v>
      </c>
      <c r="H95" s="715">
        <v>10</v>
      </c>
      <c r="I95" s="640">
        <f t="shared" si="32"/>
        <v>13</v>
      </c>
      <c r="J95" s="709">
        <v>430.4</v>
      </c>
      <c r="K95" s="377">
        <f t="shared" si="33"/>
        <v>1.95</v>
      </c>
      <c r="L95" s="102">
        <f t="shared" si="31"/>
        <v>445.34999999999997</v>
      </c>
      <c r="M95" s="50">
        <f t="shared" si="12"/>
        <v>1.3</v>
      </c>
      <c r="N95" s="102">
        <f t="shared" si="13"/>
        <v>13</v>
      </c>
      <c r="O95" s="102">
        <f t="shared" si="14"/>
        <v>430.4</v>
      </c>
      <c r="P95" s="102">
        <f t="shared" si="15"/>
        <v>1.95</v>
      </c>
      <c r="Q95" s="103">
        <f t="shared" si="16"/>
        <v>445.34999999999997</v>
      </c>
      <c r="R95" s="805"/>
    </row>
    <row r="96" spans="1:18" s="56" customFormat="1">
      <c r="A96" s="217">
        <v>83</v>
      </c>
      <c r="B96" s="238"/>
      <c r="C96" s="224" t="s">
        <v>372</v>
      </c>
      <c r="D96" s="224" t="s">
        <v>375</v>
      </c>
      <c r="E96" s="219" t="s">
        <v>118</v>
      </c>
      <c r="F96" s="311">
        <v>2</v>
      </c>
      <c r="G96" s="220">
        <v>1.8</v>
      </c>
      <c r="H96" s="220">
        <v>10</v>
      </c>
      <c r="I96" s="316">
        <v>18</v>
      </c>
      <c r="J96" s="316">
        <v>862</v>
      </c>
      <c r="K96" s="316">
        <v>2.6999999999999997</v>
      </c>
      <c r="L96" s="102">
        <f t="shared" si="31"/>
        <v>882.7</v>
      </c>
      <c r="M96" s="50">
        <f t="shared" si="12"/>
        <v>3.6</v>
      </c>
      <c r="N96" s="102">
        <f t="shared" si="13"/>
        <v>36</v>
      </c>
      <c r="O96" s="102">
        <f t="shared" si="14"/>
        <v>1724</v>
      </c>
      <c r="P96" s="102">
        <f t="shared" si="15"/>
        <v>5.4</v>
      </c>
      <c r="Q96" s="103">
        <f t="shared" si="16"/>
        <v>1765.4</v>
      </c>
      <c r="R96" s="805"/>
    </row>
    <row r="97" spans="1:18" s="56" customFormat="1" ht="24.9">
      <c r="A97" s="217">
        <v>84</v>
      </c>
      <c r="B97" s="238"/>
      <c r="C97" s="224" t="s">
        <v>376</v>
      </c>
      <c r="D97" s="224" t="s">
        <v>377</v>
      </c>
      <c r="E97" s="219" t="s">
        <v>118</v>
      </c>
      <c r="F97" s="311">
        <v>4</v>
      </c>
      <c r="G97" s="220">
        <v>1.4</v>
      </c>
      <c r="H97" s="220">
        <v>10</v>
      </c>
      <c r="I97" s="316">
        <v>14</v>
      </c>
      <c r="J97" s="316">
        <v>85</v>
      </c>
      <c r="K97" s="316">
        <v>2.1</v>
      </c>
      <c r="L97" s="102">
        <f t="shared" si="31"/>
        <v>101.1</v>
      </c>
      <c r="M97" s="50">
        <f t="shared" si="12"/>
        <v>5.6</v>
      </c>
      <c r="N97" s="102">
        <f t="shared" si="13"/>
        <v>56</v>
      </c>
      <c r="O97" s="102">
        <f t="shared" si="14"/>
        <v>340</v>
      </c>
      <c r="P97" s="102">
        <f t="shared" si="15"/>
        <v>8.4</v>
      </c>
      <c r="Q97" s="103">
        <f t="shared" si="16"/>
        <v>404.4</v>
      </c>
      <c r="R97" s="805"/>
    </row>
    <row r="98" spans="1:18" s="56" customFormat="1">
      <c r="A98" s="217">
        <v>85</v>
      </c>
      <c r="B98" s="238"/>
      <c r="C98" s="224" t="s">
        <v>378</v>
      </c>
      <c r="D98" s="224" t="s">
        <v>379</v>
      </c>
      <c r="E98" s="219" t="s">
        <v>118</v>
      </c>
      <c r="F98" s="311">
        <v>7</v>
      </c>
      <c r="G98" s="220">
        <v>1.2</v>
      </c>
      <c r="H98" s="220">
        <v>10</v>
      </c>
      <c r="I98" s="316">
        <v>12</v>
      </c>
      <c r="J98" s="316">
        <v>18.03</v>
      </c>
      <c r="K98" s="316">
        <v>1.7999999999999998</v>
      </c>
      <c r="L98" s="102">
        <f t="shared" si="31"/>
        <v>31.830000000000002</v>
      </c>
      <c r="M98" s="50">
        <f t="shared" si="12"/>
        <v>8.4</v>
      </c>
      <c r="N98" s="102">
        <f t="shared" si="13"/>
        <v>84</v>
      </c>
      <c r="O98" s="102">
        <f t="shared" si="14"/>
        <v>126.21</v>
      </c>
      <c r="P98" s="102">
        <f t="shared" si="15"/>
        <v>12.6</v>
      </c>
      <c r="Q98" s="103">
        <f t="shared" si="16"/>
        <v>222.80999999999997</v>
      </c>
      <c r="R98" s="805"/>
    </row>
    <row r="99" spans="1:18" s="56" customFormat="1">
      <c r="A99" s="217">
        <v>86</v>
      </c>
      <c r="B99" s="238"/>
      <c r="C99" s="224" t="s">
        <v>378</v>
      </c>
      <c r="D99" s="224" t="s">
        <v>380</v>
      </c>
      <c r="E99" s="219" t="s">
        <v>118</v>
      </c>
      <c r="F99" s="311">
        <v>26</v>
      </c>
      <c r="G99" s="220">
        <v>1.2</v>
      </c>
      <c r="H99" s="220">
        <v>10</v>
      </c>
      <c r="I99" s="316">
        <v>12</v>
      </c>
      <c r="J99" s="316">
        <v>15.28</v>
      </c>
      <c r="K99" s="316">
        <v>1.7999999999999998</v>
      </c>
      <c r="L99" s="102">
        <f t="shared" si="31"/>
        <v>29.080000000000002</v>
      </c>
      <c r="M99" s="50">
        <f t="shared" si="12"/>
        <v>31.2</v>
      </c>
      <c r="N99" s="102">
        <f t="shared" si="13"/>
        <v>312</v>
      </c>
      <c r="O99" s="102">
        <f t="shared" si="14"/>
        <v>397.28</v>
      </c>
      <c r="P99" s="102">
        <f t="shared" si="15"/>
        <v>46.8</v>
      </c>
      <c r="Q99" s="103">
        <f t="shared" si="16"/>
        <v>756.07999999999993</v>
      </c>
      <c r="R99" s="805"/>
    </row>
    <row r="100" spans="1:18" s="56" customFormat="1">
      <c r="A100" s="217">
        <v>87</v>
      </c>
      <c r="B100" s="238"/>
      <c r="C100" s="224" t="s">
        <v>378</v>
      </c>
      <c r="D100" s="224" t="s">
        <v>381</v>
      </c>
      <c r="E100" s="219" t="s">
        <v>118</v>
      </c>
      <c r="F100" s="311">
        <v>1</v>
      </c>
      <c r="G100" s="220">
        <v>1.2</v>
      </c>
      <c r="H100" s="220">
        <v>10</v>
      </c>
      <c r="I100" s="316">
        <v>12</v>
      </c>
      <c r="J100" s="316">
        <v>16.02</v>
      </c>
      <c r="K100" s="316">
        <v>1.7999999999999998</v>
      </c>
      <c r="L100" s="102">
        <f t="shared" si="31"/>
        <v>29.82</v>
      </c>
      <c r="M100" s="50">
        <f t="shared" si="12"/>
        <v>1.2</v>
      </c>
      <c r="N100" s="102">
        <f t="shared" si="13"/>
        <v>12</v>
      </c>
      <c r="O100" s="102">
        <f t="shared" si="14"/>
        <v>16.02</v>
      </c>
      <c r="P100" s="102">
        <f t="shared" si="15"/>
        <v>1.8</v>
      </c>
      <c r="Q100" s="103">
        <f t="shared" si="16"/>
        <v>29.82</v>
      </c>
      <c r="R100" s="805"/>
    </row>
    <row r="101" spans="1:18" s="56" customFormat="1">
      <c r="A101" s="217">
        <v>88</v>
      </c>
      <c r="B101" s="238"/>
      <c r="C101" s="224" t="s">
        <v>378</v>
      </c>
      <c r="D101" s="224" t="s">
        <v>382</v>
      </c>
      <c r="E101" s="219" t="s">
        <v>118</v>
      </c>
      <c r="F101" s="311">
        <v>14</v>
      </c>
      <c r="G101" s="220">
        <v>1.2</v>
      </c>
      <c r="H101" s="220">
        <v>10</v>
      </c>
      <c r="I101" s="316">
        <v>12</v>
      </c>
      <c r="J101" s="316">
        <v>18.600000000000001</v>
      </c>
      <c r="K101" s="316">
        <v>1.7999999999999998</v>
      </c>
      <c r="L101" s="102">
        <f t="shared" si="31"/>
        <v>32.4</v>
      </c>
      <c r="M101" s="50">
        <f t="shared" si="12"/>
        <v>16.8</v>
      </c>
      <c r="N101" s="102">
        <f t="shared" si="13"/>
        <v>168</v>
      </c>
      <c r="O101" s="102">
        <f t="shared" si="14"/>
        <v>260.39999999999998</v>
      </c>
      <c r="P101" s="102">
        <f t="shared" si="15"/>
        <v>25.2</v>
      </c>
      <c r="Q101" s="103">
        <f t="shared" si="16"/>
        <v>453.59999999999997</v>
      </c>
      <c r="R101" s="805"/>
    </row>
    <row r="102" spans="1:18" s="56" customFormat="1">
      <c r="A102" s="217">
        <v>89</v>
      </c>
      <c r="B102" s="238"/>
      <c r="C102" s="224" t="s">
        <v>378</v>
      </c>
      <c r="D102" s="224" t="s">
        <v>383</v>
      </c>
      <c r="E102" s="219" t="s">
        <v>118</v>
      </c>
      <c r="F102" s="311">
        <v>14</v>
      </c>
      <c r="G102" s="220">
        <v>1.2</v>
      </c>
      <c r="H102" s="220">
        <v>10</v>
      </c>
      <c r="I102" s="316">
        <v>12</v>
      </c>
      <c r="J102" s="316">
        <v>21.6</v>
      </c>
      <c r="K102" s="316">
        <v>1.7999999999999998</v>
      </c>
      <c r="L102" s="102">
        <f t="shared" si="31"/>
        <v>35.4</v>
      </c>
      <c r="M102" s="50">
        <f t="shared" si="12"/>
        <v>16.8</v>
      </c>
      <c r="N102" s="102">
        <f t="shared" si="13"/>
        <v>168</v>
      </c>
      <c r="O102" s="102">
        <f t="shared" si="14"/>
        <v>302.39999999999998</v>
      </c>
      <c r="P102" s="102">
        <f t="shared" si="15"/>
        <v>25.2</v>
      </c>
      <c r="Q102" s="103">
        <f t="shared" si="16"/>
        <v>495.59999999999997</v>
      </c>
      <c r="R102" s="805"/>
    </row>
    <row r="103" spans="1:18" s="56" customFormat="1">
      <c r="A103" s="217">
        <v>90</v>
      </c>
      <c r="B103" s="238"/>
      <c r="C103" s="224" t="s">
        <v>378</v>
      </c>
      <c r="D103" s="224" t="s">
        <v>384</v>
      </c>
      <c r="E103" s="219" t="s">
        <v>118</v>
      </c>
      <c r="F103" s="311">
        <v>12</v>
      </c>
      <c r="G103" s="220">
        <v>1.2</v>
      </c>
      <c r="H103" s="220">
        <v>10</v>
      </c>
      <c r="I103" s="316">
        <v>12</v>
      </c>
      <c r="J103" s="316">
        <v>28.9</v>
      </c>
      <c r="K103" s="316">
        <v>1.7999999999999998</v>
      </c>
      <c r="L103" s="102">
        <f t="shared" si="31"/>
        <v>42.699999999999996</v>
      </c>
      <c r="M103" s="50">
        <f t="shared" si="12"/>
        <v>14.4</v>
      </c>
      <c r="N103" s="102">
        <f t="shared" si="13"/>
        <v>144</v>
      </c>
      <c r="O103" s="102">
        <f t="shared" si="14"/>
        <v>346.8</v>
      </c>
      <c r="P103" s="102">
        <f t="shared" si="15"/>
        <v>21.6</v>
      </c>
      <c r="Q103" s="103">
        <f t="shared" si="16"/>
        <v>512.4</v>
      </c>
      <c r="R103" s="805"/>
    </row>
    <row r="104" spans="1:18" s="56" customFormat="1">
      <c r="A104" s="217">
        <v>91</v>
      </c>
      <c r="B104" s="238"/>
      <c r="C104" s="705" t="s">
        <v>378</v>
      </c>
      <c r="D104" s="717" t="s">
        <v>1648</v>
      </c>
      <c r="E104" s="707" t="s">
        <v>118</v>
      </c>
      <c r="F104" s="708">
        <v>4</v>
      </c>
      <c r="G104" s="709">
        <v>1.2</v>
      </c>
      <c r="H104" s="715">
        <v>10</v>
      </c>
      <c r="I104" s="640">
        <f t="shared" ref="I104:I107" si="34">ROUND(G104*H104,2)</f>
        <v>12</v>
      </c>
      <c r="J104" s="709">
        <v>40.65</v>
      </c>
      <c r="K104" s="377">
        <f t="shared" ref="K104:K107" si="35">I104*0.15</f>
        <v>1.7999999999999998</v>
      </c>
      <c r="L104" s="102">
        <f t="shared" si="31"/>
        <v>54.449999999999996</v>
      </c>
      <c r="M104" s="50">
        <f t="shared" si="12"/>
        <v>4.8</v>
      </c>
      <c r="N104" s="102">
        <f t="shared" si="13"/>
        <v>48</v>
      </c>
      <c r="O104" s="102">
        <f t="shared" si="14"/>
        <v>162.6</v>
      </c>
      <c r="P104" s="102">
        <f t="shared" si="15"/>
        <v>7.2</v>
      </c>
      <c r="Q104" s="103">
        <f t="shared" si="16"/>
        <v>217.79999999999998</v>
      </c>
      <c r="R104" s="805"/>
    </row>
    <row r="105" spans="1:18" s="56" customFormat="1">
      <c r="A105" s="217">
        <v>92</v>
      </c>
      <c r="B105" s="238"/>
      <c r="C105" s="705" t="s">
        <v>378</v>
      </c>
      <c r="D105" s="717" t="s">
        <v>1649</v>
      </c>
      <c r="E105" s="707" t="s">
        <v>118</v>
      </c>
      <c r="F105" s="708">
        <v>1</v>
      </c>
      <c r="G105" s="709">
        <v>1.2</v>
      </c>
      <c r="H105" s="715">
        <v>10</v>
      </c>
      <c r="I105" s="640">
        <f t="shared" si="34"/>
        <v>12</v>
      </c>
      <c r="J105" s="709">
        <v>58.99</v>
      </c>
      <c r="K105" s="377">
        <f t="shared" si="35"/>
        <v>1.7999999999999998</v>
      </c>
      <c r="L105" s="102">
        <f t="shared" si="31"/>
        <v>72.790000000000006</v>
      </c>
      <c r="M105" s="50">
        <f t="shared" si="12"/>
        <v>1.2</v>
      </c>
      <c r="N105" s="102">
        <f t="shared" si="13"/>
        <v>12</v>
      </c>
      <c r="O105" s="102">
        <f t="shared" si="14"/>
        <v>58.99</v>
      </c>
      <c r="P105" s="102">
        <f t="shared" si="15"/>
        <v>1.8</v>
      </c>
      <c r="Q105" s="103">
        <f t="shared" si="16"/>
        <v>72.790000000000006</v>
      </c>
      <c r="R105" s="805"/>
    </row>
    <row r="106" spans="1:18" s="56" customFormat="1" ht="24.9">
      <c r="A106" s="217">
        <v>93</v>
      </c>
      <c r="B106" s="238"/>
      <c r="C106" s="705" t="s">
        <v>378</v>
      </c>
      <c r="D106" s="717" t="s">
        <v>1650</v>
      </c>
      <c r="E106" s="707" t="s">
        <v>118</v>
      </c>
      <c r="F106" s="708">
        <v>4</v>
      </c>
      <c r="G106" s="709">
        <v>1.4</v>
      </c>
      <c r="H106" s="715">
        <v>10</v>
      </c>
      <c r="I106" s="640">
        <f t="shared" si="34"/>
        <v>14</v>
      </c>
      <c r="J106" s="709">
        <v>177.64</v>
      </c>
      <c r="K106" s="377">
        <f t="shared" si="35"/>
        <v>2.1</v>
      </c>
      <c r="L106" s="102">
        <f t="shared" si="31"/>
        <v>193.73999999999998</v>
      </c>
      <c r="M106" s="50">
        <f t="shared" si="12"/>
        <v>5.6</v>
      </c>
      <c r="N106" s="102">
        <f t="shared" si="13"/>
        <v>56</v>
      </c>
      <c r="O106" s="102">
        <f t="shared" si="14"/>
        <v>710.56</v>
      </c>
      <c r="P106" s="102">
        <f t="shared" si="15"/>
        <v>8.4</v>
      </c>
      <c r="Q106" s="103">
        <f t="shared" si="16"/>
        <v>774.95999999999992</v>
      </c>
      <c r="R106" s="805"/>
    </row>
    <row r="107" spans="1:18" s="56" customFormat="1" ht="24.9">
      <c r="A107" s="217">
        <v>94</v>
      </c>
      <c r="B107" s="238"/>
      <c r="C107" s="705" t="s">
        <v>378</v>
      </c>
      <c r="D107" s="717" t="s">
        <v>1651</v>
      </c>
      <c r="E107" s="707" t="s">
        <v>118</v>
      </c>
      <c r="F107" s="708">
        <v>2</v>
      </c>
      <c r="G107" s="220">
        <v>1.4</v>
      </c>
      <c r="H107" s="220">
        <v>10</v>
      </c>
      <c r="I107" s="640">
        <f t="shared" si="34"/>
        <v>14</v>
      </c>
      <c r="J107" s="316">
        <v>186.72</v>
      </c>
      <c r="K107" s="377">
        <f t="shared" si="35"/>
        <v>2.1</v>
      </c>
      <c r="L107" s="102">
        <f t="shared" si="31"/>
        <v>202.82</v>
      </c>
      <c r="M107" s="50">
        <f t="shared" si="12"/>
        <v>2.8</v>
      </c>
      <c r="N107" s="102">
        <f t="shared" si="13"/>
        <v>28</v>
      </c>
      <c r="O107" s="102">
        <f t="shared" si="14"/>
        <v>373.44</v>
      </c>
      <c r="P107" s="102">
        <f t="shared" si="15"/>
        <v>4.2</v>
      </c>
      <c r="Q107" s="103">
        <f t="shared" si="16"/>
        <v>405.64</v>
      </c>
      <c r="R107" s="805"/>
    </row>
    <row r="108" spans="1:18" s="56" customFormat="1" ht="24.9">
      <c r="A108" s="217">
        <v>95</v>
      </c>
      <c r="B108" s="238"/>
      <c r="C108" s="224" t="s">
        <v>378</v>
      </c>
      <c r="D108" s="224" t="s">
        <v>385</v>
      </c>
      <c r="E108" s="219" t="s">
        <v>118</v>
      </c>
      <c r="F108" s="311">
        <v>5</v>
      </c>
      <c r="G108" s="220">
        <v>1.4</v>
      </c>
      <c r="H108" s="220">
        <v>10</v>
      </c>
      <c r="I108" s="316">
        <v>14</v>
      </c>
      <c r="J108" s="316">
        <v>191.9</v>
      </c>
      <c r="K108" s="316">
        <v>2.1</v>
      </c>
      <c r="L108" s="102">
        <f t="shared" si="31"/>
        <v>208</v>
      </c>
      <c r="M108" s="50">
        <f t="shared" si="12"/>
        <v>7</v>
      </c>
      <c r="N108" s="102">
        <f t="shared" si="13"/>
        <v>70</v>
      </c>
      <c r="O108" s="102">
        <f t="shared" si="14"/>
        <v>959.5</v>
      </c>
      <c r="P108" s="102">
        <f t="shared" si="15"/>
        <v>10.5</v>
      </c>
      <c r="Q108" s="103">
        <f t="shared" si="16"/>
        <v>1040</v>
      </c>
      <c r="R108" s="805"/>
    </row>
    <row r="109" spans="1:18" s="56" customFormat="1">
      <c r="A109" s="217">
        <v>96</v>
      </c>
      <c r="B109" s="238"/>
      <c r="C109" s="305" t="s">
        <v>378</v>
      </c>
      <c r="D109" s="719" t="s">
        <v>1652</v>
      </c>
      <c r="E109" s="306" t="s">
        <v>118</v>
      </c>
      <c r="F109" s="307">
        <v>2</v>
      </c>
      <c r="G109" s="709">
        <v>1.4</v>
      </c>
      <c r="H109" s="638">
        <v>10</v>
      </c>
      <c r="I109" s="640">
        <f t="shared" ref="I109" si="36">ROUND(G109*H109,2)</f>
        <v>14</v>
      </c>
      <c r="J109" s="704">
        <v>56.32</v>
      </c>
      <c r="K109" s="377">
        <f t="shared" ref="K109" si="37">I109*0.15</f>
        <v>2.1</v>
      </c>
      <c r="L109" s="102">
        <f t="shared" si="31"/>
        <v>72.419999999999987</v>
      </c>
      <c r="M109" s="50">
        <f t="shared" si="12"/>
        <v>2.8</v>
      </c>
      <c r="N109" s="102">
        <f t="shared" si="13"/>
        <v>28</v>
      </c>
      <c r="O109" s="102">
        <f t="shared" si="14"/>
        <v>112.64</v>
      </c>
      <c r="P109" s="102">
        <f t="shared" si="15"/>
        <v>4.2</v>
      </c>
      <c r="Q109" s="103">
        <f t="shared" si="16"/>
        <v>144.83999999999997</v>
      </c>
      <c r="R109" s="805"/>
    </row>
    <row r="110" spans="1:18" s="56" customFormat="1">
      <c r="A110" s="217">
        <v>97</v>
      </c>
      <c r="B110" s="238"/>
      <c r="C110" s="224" t="s">
        <v>378</v>
      </c>
      <c r="D110" s="224" t="s">
        <v>386</v>
      </c>
      <c r="E110" s="219" t="s">
        <v>118</v>
      </c>
      <c r="F110" s="311">
        <v>6</v>
      </c>
      <c r="G110" s="220">
        <v>1.4</v>
      </c>
      <c r="H110" s="220">
        <v>10</v>
      </c>
      <c r="I110" s="316">
        <v>14</v>
      </c>
      <c r="J110" s="316">
        <v>189.5</v>
      </c>
      <c r="K110" s="316">
        <v>2.1</v>
      </c>
      <c r="L110" s="102">
        <f t="shared" ref="L110:L119" si="38">SUM(I110:K110)</f>
        <v>205.6</v>
      </c>
      <c r="M110" s="50">
        <f t="shared" si="12"/>
        <v>8.4</v>
      </c>
      <c r="N110" s="102">
        <f t="shared" si="13"/>
        <v>84</v>
      </c>
      <c r="O110" s="102">
        <f t="shared" si="14"/>
        <v>1137</v>
      </c>
      <c r="P110" s="102">
        <f t="shared" si="15"/>
        <v>12.6</v>
      </c>
      <c r="Q110" s="103">
        <f t="shared" si="16"/>
        <v>1233.5999999999999</v>
      </c>
      <c r="R110" s="805"/>
    </row>
    <row r="111" spans="1:18" s="56" customFormat="1">
      <c r="A111" s="217">
        <v>98</v>
      </c>
      <c r="B111" s="238"/>
      <c r="C111" s="224" t="s">
        <v>387</v>
      </c>
      <c r="D111" s="224" t="s">
        <v>388</v>
      </c>
      <c r="E111" s="219" t="s">
        <v>118</v>
      </c>
      <c r="F111" s="311">
        <v>2</v>
      </c>
      <c r="G111" s="220">
        <v>1.4</v>
      </c>
      <c r="H111" s="220">
        <v>10</v>
      </c>
      <c r="I111" s="316">
        <v>14</v>
      </c>
      <c r="J111" s="316">
        <v>146.28</v>
      </c>
      <c r="K111" s="316">
        <v>2.1</v>
      </c>
      <c r="L111" s="102">
        <f t="shared" si="38"/>
        <v>162.38</v>
      </c>
      <c r="M111" s="50">
        <f t="shared" si="12"/>
        <v>2.8</v>
      </c>
      <c r="N111" s="102">
        <f t="shared" si="13"/>
        <v>28</v>
      </c>
      <c r="O111" s="102">
        <f t="shared" si="14"/>
        <v>292.56</v>
      </c>
      <c r="P111" s="102">
        <f t="shared" si="15"/>
        <v>4.2</v>
      </c>
      <c r="Q111" s="103">
        <f t="shared" si="16"/>
        <v>324.76</v>
      </c>
      <c r="R111" s="805"/>
    </row>
    <row r="112" spans="1:18" s="56" customFormat="1">
      <c r="A112" s="217">
        <v>99</v>
      </c>
      <c r="B112" s="238"/>
      <c r="C112" s="224" t="s">
        <v>387</v>
      </c>
      <c r="D112" s="224" t="s">
        <v>389</v>
      </c>
      <c r="E112" s="219" t="s">
        <v>118</v>
      </c>
      <c r="F112" s="311">
        <v>3</v>
      </c>
      <c r="G112" s="220">
        <v>1.4</v>
      </c>
      <c r="H112" s="220">
        <v>10</v>
      </c>
      <c r="I112" s="316">
        <v>14</v>
      </c>
      <c r="J112" s="316">
        <v>159.9</v>
      </c>
      <c r="K112" s="316">
        <v>2.1</v>
      </c>
      <c r="L112" s="102">
        <f t="shared" si="38"/>
        <v>176</v>
      </c>
      <c r="M112" s="50">
        <f t="shared" si="12"/>
        <v>4.2</v>
      </c>
      <c r="N112" s="102">
        <f t="shared" si="13"/>
        <v>42</v>
      </c>
      <c r="O112" s="102">
        <f t="shared" si="14"/>
        <v>479.7</v>
      </c>
      <c r="P112" s="102">
        <f t="shared" si="15"/>
        <v>6.3</v>
      </c>
      <c r="Q112" s="103">
        <f t="shared" si="16"/>
        <v>528</v>
      </c>
      <c r="R112" s="805"/>
    </row>
    <row r="113" spans="1:18" s="56" customFormat="1">
      <c r="A113" s="217">
        <v>100</v>
      </c>
      <c r="B113" s="238"/>
      <c r="C113" s="224" t="s">
        <v>387</v>
      </c>
      <c r="D113" s="224" t="s">
        <v>390</v>
      </c>
      <c r="E113" s="219" t="s">
        <v>118</v>
      </c>
      <c r="F113" s="311">
        <v>1</v>
      </c>
      <c r="G113" s="220">
        <v>1.4</v>
      </c>
      <c r="H113" s="220">
        <v>10</v>
      </c>
      <c r="I113" s="316">
        <v>14</v>
      </c>
      <c r="J113" s="316">
        <v>182.95</v>
      </c>
      <c r="K113" s="316">
        <v>2.1</v>
      </c>
      <c r="L113" s="102">
        <f t="shared" si="38"/>
        <v>199.04999999999998</v>
      </c>
      <c r="M113" s="50">
        <f t="shared" si="12"/>
        <v>1.4</v>
      </c>
      <c r="N113" s="102">
        <f t="shared" si="13"/>
        <v>14</v>
      </c>
      <c r="O113" s="102">
        <f t="shared" si="14"/>
        <v>182.95</v>
      </c>
      <c r="P113" s="102">
        <f t="shared" si="15"/>
        <v>2.1</v>
      </c>
      <c r="Q113" s="103">
        <f t="shared" si="16"/>
        <v>199.04999999999998</v>
      </c>
      <c r="R113" s="805"/>
    </row>
    <row r="114" spans="1:18" s="56" customFormat="1">
      <c r="A114" s="217">
        <v>101</v>
      </c>
      <c r="B114" s="238"/>
      <c r="C114" s="224" t="s">
        <v>387</v>
      </c>
      <c r="D114" s="224" t="s">
        <v>391</v>
      </c>
      <c r="E114" s="219" t="s">
        <v>118</v>
      </c>
      <c r="F114" s="311">
        <v>2</v>
      </c>
      <c r="G114" s="220">
        <v>1.4</v>
      </c>
      <c r="H114" s="220">
        <v>10</v>
      </c>
      <c r="I114" s="316">
        <v>14</v>
      </c>
      <c r="J114" s="316">
        <v>236.82</v>
      </c>
      <c r="K114" s="316">
        <v>2.1</v>
      </c>
      <c r="L114" s="102">
        <f t="shared" si="38"/>
        <v>252.92</v>
      </c>
      <c r="M114" s="50">
        <f t="shared" si="12"/>
        <v>2.8</v>
      </c>
      <c r="N114" s="102">
        <f t="shared" si="13"/>
        <v>28</v>
      </c>
      <c r="O114" s="102">
        <f t="shared" si="14"/>
        <v>473.64</v>
      </c>
      <c r="P114" s="102">
        <f t="shared" si="15"/>
        <v>4.2</v>
      </c>
      <c r="Q114" s="103">
        <f t="shared" si="16"/>
        <v>505.84</v>
      </c>
      <c r="R114" s="805"/>
    </row>
    <row r="115" spans="1:18" s="56" customFormat="1">
      <c r="A115" s="217">
        <v>102</v>
      </c>
      <c r="B115" s="238"/>
      <c r="C115" s="224" t="s">
        <v>387</v>
      </c>
      <c r="D115" s="224" t="s">
        <v>392</v>
      </c>
      <c r="E115" s="219" t="s">
        <v>118</v>
      </c>
      <c r="F115" s="311">
        <v>6</v>
      </c>
      <c r="G115" s="220">
        <v>1.4</v>
      </c>
      <c r="H115" s="220">
        <v>10</v>
      </c>
      <c r="I115" s="316">
        <v>14</v>
      </c>
      <c r="J115" s="316">
        <v>248.22</v>
      </c>
      <c r="K115" s="316">
        <v>2.1</v>
      </c>
      <c r="L115" s="102">
        <f t="shared" si="38"/>
        <v>264.32000000000005</v>
      </c>
      <c r="M115" s="50">
        <f t="shared" si="12"/>
        <v>8.4</v>
      </c>
      <c r="N115" s="102">
        <f t="shared" si="13"/>
        <v>84</v>
      </c>
      <c r="O115" s="102">
        <f t="shared" si="14"/>
        <v>1489.32</v>
      </c>
      <c r="P115" s="102">
        <f t="shared" si="15"/>
        <v>12.6</v>
      </c>
      <c r="Q115" s="103">
        <f t="shared" si="16"/>
        <v>1585.9199999999998</v>
      </c>
      <c r="R115" s="805"/>
    </row>
    <row r="116" spans="1:18" s="56" customFormat="1">
      <c r="A116" s="217">
        <v>103</v>
      </c>
      <c r="B116" s="238"/>
      <c r="C116" s="224" t="s">
        <v>387</v>
      </c>
      <c r="D116" s="224" t="s">
        <v>393</v>
      </c>
      <c r="E116" s="219" t="s">
        <v>118</v>
      </c>
      <c r="F116" s="311">
        <v>2</v>
      </c>
      <c r="G116" s="220">
        <v>1.45</v>
      </c>
      <c r="H116" s="220">
        <v>10</v>
      </c>
      <c r="I116" s="316">
        <v>14.5</v>
      </c>
      <c r="J116" s="316">
        <v>147</v>
      </c>
      <c r="K116" s="316">
        <v>2.1749999999999998</v>
      </c>
      <c r="L116" s="102">
        <f t="shared" si="38"/>
        <v>163.67500000000001</v>
      </c>
      <c r="M116" s="50">
        <f t="shared" si="12"/>
        <v>2.9</v>
      </c>
      <c r="N116" s="102">
        <f t="shared" si="13"/>
        <v>29</v>
      </c>
      <c r="O116" s="102">
        <f t="shared" si="14"/>
        <v>294</v>
      </c>
      <c r="P116" s="102">
        <f t="shared" si="15"/>
        <v>4.3499999999999996</v>
      </c>
      <c r="Q116" s="103">
        <f t="shared" si="16"/>
        <v>327.35000000000002</v>
      </c>
      <c r="R116" s="805"/>
    </row>
    <row r="117" spans="1:18" s="56" customFormat="1">
      <c r="A117" s="217">
        <v>104</v>
      </c>
      <c r="B117" s="238"/>
      <c r="C117" s="705" t="s">
        <v>387</v>
      </c>
      <c r="D117" s="717" t="s">
        <v>1653</v>
      </c>
      <c r="E117" s="707" t="s">
        <v>118</v>
      </c>
      <c r="F117" s="708">
        <v>2</v>
      </c>
      <c r="G117" s="709">
        <v>2.1</v>
      </c>
      <c r="H117" s="715">
        <v>10</v>
      </c>
      <c r="I117" s="640">
        <f t="shared" ref="I117:I118" si="39">ROUND(G117*H117,2)</f>
        <v>21</v>
      </c>
      <c r="J117" s="709">
        <v>115.25</v>
      </c>
      <c r="K117" s="377">
        <f t="shared" ref="K117:K118" si="40">I117*0.15</f>
        <v>3.15</v>
      </c>
      <c r="L117" s="102">
        <f t="shared" si="38"/>
        <v>139.4</v>
      </c>
      <c r="M117" s="50">
        <f t="shared" si="12"/>
        <v>4.2</v>
      </c>
      <c r="N117" s="102">
        <f t="shared" si="13"/>
        <v>42</v>
      </c>
      <c r="O117" s="102">
        <f t="shared" si="14"/>
        <v>230.5</v>
      </c>
      <c r="P117" s="102">
        <f t="shared" si="15"/>
        <v>6.3</v>
      </c>
      <c r="Q117" s="103">
        <f t="shared" si="16"/>
        <v>278.8</v>
      </c>
      <c r="R117" s="805"/>
    </row>
    <row r="118" spans="1:18" s="56" customFormat="1">
      <c r="A118" s="217">
        <v>105</v>
      </c>
      <c r="B118" s="238"/>
      <c r="C118" s="705" t="s">
        <v>387</v>
      </c>
      <c r="D118" s="717" t="s">
        <v>1654</v>
      </c>
      <c r="E118" s="707" t="s">
        <v>118</v>
      </c>
      <c r="F118" s="708">
        <v>1</v>
      </c>
      <c r="G118" s="709">
        <v>2.1</v>
      </c>
      <c r="H118" s="715">
        <v>10</v>
      </c>
      <c r="I118" s="640">
        <f t="shared" si="39"/>
        <v>21</v>
      </c>
      <c r="J118" s="709">
        <v>324.56</v>
      </c>
      <c r="K118" s="377">
        <f t="shared" si="40"/>
        <v>3.15</v>
      </c>
      <c r="L118" s="102">
        <f t="shared" si="38"/>
        <v>348.71</v>
      </c>
      <c r="M118" s="50">
        <f t="shared" si="12"/>
        <v>2.1</v>
      </c>
      <c r="N118" s="102">
        <f t="shared" si="13"/>
        <v>21</v>
      </c>
      <c r="O118" s="102">
        <f t="shared" si="14"/>
        <v>324.56</v>
      </c>
      <c r="P118" s="102">
        <f t="shared" si="15"/>
        <v>3.15</v>
      </c>
      <c r="Q118" s="103">
        <f t="shared" si="16"/>
        <v>348.71</v>
      </c>
      <c r="R118" s="805"/>
    </row>
    <row r="119" spans="1:18" s="56" customFormat="1">
      <c r="A119" s="217">
        <v>106</v>
      </c>
      <c r="B119" s="238"/>
      <c r="C119" s="705" t="s">
        <v>387</v>
      </c>
      <c r="D119" s="717" t="s">
        <v>1655</v>
      </c>
      <c r="E119" s="707" t="s">
        <v>118</v>
      </c>
      <c r="F119" s="708">
        <v>1</v>
      </c>
      <c r="G119" s="220">
        <v>1.6</v>
      </c>
      <c r="H119" s="220">
        <v>10</v>
      </c>
      <c r="I119" s="316">
        <v>16</v>
      </c>
      <c r="J119" s="316">
        <v>362.32</v>
      </c>
      <c r="K119" s="316">
        <v>2.4</v>
      </c>
      <c r="L119" s="102">
        <f t="shared" si="38"/>
        <v>380.71999999999997</v>
      </c>
      <c r="M119" s="50">
        <f t="shared" si="12"/>
        <v>1.6</v>
      </c>
      <c r="N119" s="102">
        <f t="shared" si="13"/>
        <v>16</v>
      </c>
      <c r="O119" s="102">
        <f t="shared" si="14"/>
        <v>362.32</v>
      </c>
      <c r="P119" s="102">
        <f t="shared" si="15"/>
        <v>2.4</v>
      </c>
      <c r="Q119" s="103">
        <f t="shared" si="16"/>
        <v>380.71999999999997</v>
      </c>
      <c r="R119" s="805"/>
    </row>
    <row r="120" spans="1:18" s="56" customFormat="1">
      <c r="A120" s="217">
        <v>107</v>
      </c>
      <c r="B120" s="238"/>
      <c r="C120" s="224" t="s">
        <v>387</v>
      </c>
      <c r="D120" s="224" t="s">
        <v>394</v>
      </c>
      <c r="E120" s="219" t="s">
        <v>118</v>
      </c>
      <c r="F120" s="311">
        <v>2</v>
      </c>
      <c r="G120" s="220">
        <v>1.6</v>
      </c>
      <c r="H120" s="220">
        <v>10</v>
      </c>
      <c r="I120" s="316">
        <v>16</v>
      </c>
      <c r="J120" s="316">
        <v>383.76</v>
      </c>
      <c r="K120" s="316">
        <v>2.4</v>
      </c>
      <c r="L120" s="102">
        <f t="shared" si="6"/>
        <v>402.15999999999997</v>
      </c>
      <c r="M120" s="50">
        <f t="shared" si="1"/>
        <v>3.2</v>
      </c>
      <c r="N120" s="102">
        <f t="shared" si="7"/>
        <v>32</v>
      </c>
      <c r="O120" s="102">
        <f t="shared" si="8"/>
        <v>767.52</v>
      </c>
      <c r="P120" s="102">
        <f t="shared" si="9"/>
        <v>4.8</v>
      </c>
      <c r="Q120" s="103">
        <f t="shared" si="10"/>
        <v>804.31999999999994</v>
      </c>
      <c r="R120" s="805"/>
    </row>
    <row r="121" spans="1:18" s="56" customFormat="1">
      <c r="A121" s="217">
        <v>108</v>
      </c>
      <c r="B121" s="238"/>
      <c r="C121" s="705" t="s">
        <v>387</v>
      </c>
      <c r="D121" s="717" t="s">
        <v>1656</v>
      </c>
      <c r="E121" s="707" t="s">
        <v>118</v>
      </c>
      <c r="F121" s="708">
        <v>3</v>
      </c>
      <c r="G121" s="220">
        <v>1.6</v>
      </c>
      <c r="H121" s="220">
        <v>10</v>
      </c>
      <c r="I121" s="316">
        <v>16</v>
      </c>
      <c r="J121" s="316">
        <v>516.29</v>
      </c>
      <c r="K121" s="316">
        <v>2.4</v>
      </c>
      <c r="L121" s="102">
        <f t="shared" si="6"/>
        <v>534.68999999999994</v>
      </c>
      <c r="M121" s="50">
        <f t="shared" si="1"/>
        <v>4.8</v>
      </c>
      <c r="N121" s="102">
        <f t="shared" si="7"/>
        <v>48</v>
      </c>
      <c r="O121" s="102">
        <f t="shared" si="8"/>
        <v>1548.87</v>
      </c>
      <c r="P121" s="102">
        <f t="shared" si="9"/>
        <v>7.2</v>
      </c>
      <c r="Q121" s="103">
        <f t="shared" si="10"/>
        <v>1604.07</v>
      </c>
      <c r="R121" s="805"/>
    </row>
    <row r="122" spans="1:18" s="56" customFormat="1" ht="164.95" customHeight="1">
      <c r="A122" s="217">
        <v>109</v>
      </c>
      <c r="B122" s="238"/>
      <c r="C122" s="705" t="s">
        <v>387</v>
      </c>
      <c r="D122" s="717" t="s">
        <v>1657</v>
      </c>
      <c r="E122" s="707" t="s">
        <v>118</v>
      </c>
      <c r="F122" s="708">
        <v>9</v>
      </c>
      <c r="G122" s="220">
        <v>1.6</v>
      </c>
      <c r="H122" s="220">
        <v>10</v>
      </c>
      <c r="I122" s="316">
        <v>16</v>
      </c>
      <c r="J122" s="316">
        <v>533.95000000000005</v>
      </c>
      <c r="K122" s="316">
        <v>2.4</v>
      </c>
      <c r="L122" s="102">
        <f t="shared" si="6"/>
        <v>552.35</v>
      </c>
      <c r="M122" s="50">
        <f t="shared" si="1"/>
        <v>14.4</v>
      </c>
      <c r="N122" s="102">
        <f t="shared" si="7"/>
        <v>144</v>
      </c>
      <c r="O122" s="102">
        <f t="shared" si="8"/>
        <v>4805.55</v>
      </c>
      <c r="P122" s="102">
        <f t="shared" si="9"/>
        <v>21.6</v>
      </c>
      <c r="Q122" s="103">
        <f t="shared" si="10"/>
        <v>4971.1500000000005</v>
      </c>
      <c r="R122" s="805"/>
    </row>
    <row r="123" spans="1:18" s="56" customFormat="1">
      <c r="A123" s="217">
        <v>110</v>
      </c>
      <c r="B123" s="238"/>
      <c r="C123" s="705" t="s">
        <v>387</v>
      </c>
      <c r="D123" s="717" t="s">
        <v>1658</v>
      </c>
      <c r="E123" s="707" t="s">
        <v>118</v>
      </c>
      <c r="F123" s="708">
        <v>1</v>
      </c>
      <c r="G123" s="220">
        <v>1.6</v>
      </c>
      <c r="H123" s="220">
        <v>10</v>
      </c>
      <c r="I123" s="316">
        <v>16</v>
      </c>
      <c r="J123" s="316">
        <v>404.25</v>
      </c>
      <c r="K123" s="316">
        <v>2.4</v>
      </c>
      <c r="L123" s="102">
        <f t="shared" si="6"/>
        <v>422.65</v>
      </c>
      <c r="M123" s="50">
        <f t="shared" si="1"/>
        <v>1.6</v>
      </c>
      <c r="N123" s="102">
        <f t="shared" si="7"/>
        <v>16</v>
      </c>
      <c r="O123" s="102">
        <f t="shared" si="8"/>
        <v>404.25</v>
      </c>
      <c r="P123" s="102">
        <f t="shared" si="9"/>
        <v>2.4</v>
      </c>
      <c r="Q123" s="103">
        <f t="shared" si="10"/>
        <v>422.65</v>
      </c>
      <c r="R123" s="805"/>
    </row>
    <row r="124" spans="1:18" s="56" customFormat="1">
      <c r="A124" s="217">
        <v>111</v>
      </c>
      <c r="B124" s="238"/>
      <c r="C124" s="224" t="s">
        <v>387</v>
      </c>
      <c r="D124" s="224" t="s">
        <v>395</v>
      </c>
      <c r="E124" s="219" t="s">
        <v>118</v>
      </c>
      <c r="F124" s="311">
        <v>1</v>
      </c>
      <c r="G124" s="220">
        <v>1.6</v>
      </c>
      <c r="H124" s="220">
        <v>10</v>
      </c>
      <c r="I124" s="316">
        <v>16</v>
      </c>
      <c r="J124" s="316">
        <v>420</v>
      </c>
      <c r="K124" s="316">
        <v>2.4</v>
      </c>
      <c r="L124" s="102">
        <f t="shared" si="6"/>
        <v>438.4</v>
      </c>
      <c r="M124" s="50">
        <f t="shared" si="1"/>
        <v>1.6</v>
      </c>
      <c r="N124" s="102">
        <f t="shared" si="7"/>
        <v>16</v>
      </c>
      <c r="O124" s="102">
        <f t="shared" si="8"/>
        <v>420</v>
      </c>
      <c r="P124" s="102">
        <f t="shared" si="9"/>
        <v>2.4</v>
      </c>
      <c r="Q124" s="103">
        <f t="shared" si="10"/>
        <v>438.4</v>
      </c>
      <c r="R124" s="805"/>
    </row>
    <row r="125" spans="1:18" s="56" customFormat="1">
      <c r="A125" s="217">
        <v>112</v>
      </c>
      <c r="B125" s="238"/>
      <c r="C125" s="224" t="s">
        <v>387</v>
      </c>
      <c r="D125" s="224" t="s">
        <v>396</v>
      </c>
      <c r="E125" s="219" t="s">
        <v>118</v>
      </c>
      <c r="F125" s="311">
        <v>1</v>
      </c>
      <c r="G125" s="220">
        <v>1.6</v>
      </c>
      <c r="H125" s="220">
        <v>10</v>
      </c>
      <c r="I125" s="316">
        <v>16</v>
      </c>
      <c r="J125" s="316">
        <v>480</v>
      </c>
      <c r="K125" s="316">
        <v>2.4</v>
      </c>
      <c r="L125" s="102">
        <f t="shared" si="6"/>
        <v>498.4</v>
      </c>
      <c r="M125" s="50">
        <f t="shared" si="1"/>
        <v>1.6</v>
      </c>
      <c r="N125" s="102">
        <f t="shared" si="7"/>
        <v>16</v>
      </c>
      <c r="O125" s="102">
        <f t="shared" si="8"/>
        <v>480</v>
      </c>
      <c r="P125" s="102">
        <f t="shared" si="9"/>
        <v>2.4</v>
      </c>
      <c r="Q125" s="103">
        <f t="shared" si="10"/>
        <v>498.4</v>
      </c>
      <c r="R125" s="805"/>
    </row>
    <row r="126" spans="1:18" s="56" customFormat="1" ht="24.9">
      <c r="A126" s="217">
        <v>113</v>
      </c>
      <c r="B126" s="238"/>
      <c r="C126" s="224" t="s">
        <v>397</v>
      </c>
      <c r="D126" s="224" t="s">
        <v>398</v>
      </c>
      <c r="E126" s="219" t="s">
        <v>118</v>
      </c>
      <c r="F126" s="311">
        <v>1</v>
      </c>
      <c r="G126" s="220">
        <v>1.9</v>
      </c>
      <c r="H126" s="220">
        <v>10</v>
      </c>
      <c r="I126" s="316">
        <v>19</v>
      </c>
      <c r="J126" s="316">
        <v>2373</v>
      </c>
      <c r="K126" s="316">
        <v>2.85</v>
      </c>
      <c r="L126" s="102">
        <f t="shared" si="6"/>
        <v>2394.85</v>
      </c>
      <c r="M126" s="50">
        <f t="shared" si="1"/>
        <v>1.9</v>
      </c>
      <c r="N126" s="102">
        <f t="shared" si="7"/>
        <v>19</v>
      </c>
      <c r="O126" s="102">
        <f t="shared" si="8"/>
        <v>2373</v>
      </c>
      <c r="P126" s="102">
        <f t="shared" si="9"/>
        <v>2.85</v>
      </c>
      <c r="Q126" s="103">
        <f t="shared" si="10"/>
        <v>2394.85</v>
      </c>
      <c r="R126" s="805"/>
    </row>
    <row r="127" spans="1:18" s="56" customFormat="1" ht="24.9">
      <c r="A127" s="217">
        <v>114</v>
      </c>
      <c r="B127" s="238"/>
      <c r="C127" s="224" t="s">
        <v>397</v>
      </c>
      <c r="D127" s="224" t="s">
        <v>399</v>
      </c>
      <c r="E127" s="219" t="s">
        <v>118</v>
      </c>
      <c r="F127" s="311">
        <v>1</v>
      </c>
      <c r="G127" s="220">
        <v>1.9</v>
      </c>
      <c r="H127" s="220">
        <v>10</v>
      </c>
      <c r="I127" s="316">
        <v>19</v>
      </c>
      <c r="J127" s="316">
        <v>2542</v>
      </c>
      <c r="K127" s="316">
        <v>2.85</v>
      </c>
      <c r="L127" s="102">
        <f t="shared" si="6"/>
        <v>2563.85</v>
      </c>
      <c r="M127" s="50">
        <f t="shared" si="1"/>
        <v>1.9</v>
      </c>
      <c r="N127" s="102">
        <f t="shared" si="7"/>
        <v>19</v>
      </c>
      <c r="O127" s="102">
        <f t="shared" si="8"/>
        <v>2542</v>
      </c>
      <c r="P127" s="102">
        <f t="shared" si="9"/>
        <v>2.85</v>
      </c>
      <c r="Q127" s="103">
        <f t="shared" si="10"/>
        <v>2563.85</v>
      </c>
      <c r="R127" s="805"/>
    </row>
    <row r="128" spans="1:18" s="56" customFormat="1" ht="24.9">
      <c r="A128" s="217">
        <v>115</v>
      </c>
      <c r="B128" s="238"/>
      <c r="C128" s="705" t="s">
        <v>397</v>
      </c>
      <c r="D128" s="717" t="s">
        <v>1659</v>
      </c>
      <c r="E128" s="707" t="s">
        <v>118</v>
      </c>
      <c r="F128" s="708">
        <v>3</v>
      </c>
      <c r="G128" s="220">
        <v>1.9</v>
      </c>
      <c r="H128" s="220">
        <v>10</v>
      </c>
      <c r="I128" s="724">
        <v>19</v>
      </c>
      <c r="J128" s="724">
        <v>256.58999999999997</v>
      </c>
      <c r="K128" s="724">
        <v>2.85</v>
      </c>
      <c r="L128" s="102">
        <f t="shared" si="6"/>
        <v>278.44</v>
      </c>
      <c r="M128" s="50">
        <f t="shared" si="1"/>
        <v>5.7</v>
      </c>
      <c r="N128" s="102">
        <f t="shared" si="7"/>
        <v>57</v>
      </c>
      <c r="O128" s="102">
        <f t="shared" si="8"/>
        <v>769.77</v>
      </c>
      <c r="P128" s="102">
        <f t="shared" si="9"/>
        <v>8.5500000000000007</v>
      </c>
      <c r="Q128" s="103">
        <f t="shared" si="10"/>
        <v>835.31999999999994</v>
      </c>
      <c r="R128" s="805"/>
    </row>
    <row r="129" spans="1:18" s="56" customFormat="1" ht="24.9">
      <c r="A129" s="217">
        <v>116</v>
      </c>
      <c r="B129" s="238"/>
      <c r="C129" s="705" t="s">
        <v>397</v>
      </c>
      <c r="D129" s="717" t="s">
        <v>1660</v>
      </c>
      <c r="E129" s="707" t="s">
        <v>118</v>
      </c>
      <c r="F129" s="708">
        <v>1</v>
      </c>
      <c r="G129" s="220">
        <v>1.9</v>
      </c>
      <c r="H129" s="220">
        <v>10</v>
      </c>
      <c r="I129" s="724">
        <v>19</v>
      </c>
      <c r="J129" s="724">
        <v>315.85000000000002</v>
      </c>
      <c r="K129" s="724">
        <v>2.85</v>
      </c>
      <c r="L129" s="102">
        <f t="shared" si="6"/>
        <v>337.70000000000005</v>
      </c>
      <c r="M129" s="50">
        <f t="shared" si="1"/>
        <v>1.9</v>
      </c>
      <c r="N129" s="102">
        <f t="shared" si="7"/>
        <v>19</v>
      </c>
      <c r="O129" s="102">
        <f t="shared" si="8"/>
        <v>315.85000000000002</v>
      </c>
      <c r="P129" s="102">
        <f t="shared" si="9"/>
        <v>2.85</v>
      </c>
      <c r="Q129" s="103">
        <f t="shared" si="10"/>
        <v>337.70000000000005</v>
      </c>
      <c r="R129" s="805"/>
    </row>
    <row r="130" spans="1:18" s="56" customFormat="1" ht="24.9">
      <c r="A130" s="217">
        <v>117</v>
      </c>
      <c r="B130" s="238"/>
      <c r="C130" s="305" t="s">
        <v>397</v>
      </c>
      <c r="D130" s="305" t="s">
        <v>1661</v>
      </c>
      <c r="E130" s="306" t="s">
        <v>118</v>
      </c>
      <c r="F130" s="307">
        <v>1</v>
      </c>
      <c r="G130" s="220">
        <v>1.9</v>
      </c>
      <c r="H130" s="220">
        <v>10</v>
      </c>
      <c r="I130" s="724">
        <v>19</v>
      </c>
      <c r="J130" s="724">
        <v>142.22</v>
      </c>
      <c r="K130" s="724">
        <v>2.85</v>
      </c>
      <c r="L130" s="102">
        <f t="shared" si="6"/>
        <v>164.07</v>
      </c>
      <c r="M130" s="50">
        <f t="shared" si="1"/>
        <v>1.9</v>
      </c>
      <c r="N130" s="102">
        <f t="shared" si="7"/>
        <v>19</v>
      </c>
      <c r="O130" s="102">
        <f t="shared" si="8"/>
        <v>142.22</v>
      </c>
      <c r="P130" s="102">
        <f t="shared" si="9"/>
        <v>2.85</v>
      </c>
      <c r="Q130" s="103">
        <f t="shared" si="10"/>
        <v>164.07</v>
      </c>
      <c r="R130" s="805"/>
    </row>
    <row r="131" spans="1:18" s="56" customFormat="1" ht="24.9">
      <c r="A131" s="217">
        <v>118</v>
      </c>
      <c r="B131" s="238"/>
      <c r="C131" s="224" t="s">
        <v>397</v>
      </c>
      <c r="D131" s="224" t="s">
        <v>400</v>
      </c>
      <c r="E131" s="219" t="s">
        <v>118</v>
      </c>
      <c r="F131" s="311">
        <v>4</v>
      </c>
      <c r="G131" s="220">
        <v>1.9</v>
      </c>
      <c r="H131" s="220">
        <v>10</v>
      </c>
      <c r="I131" s="316">
        <v>19</v>
      </c>
      <c r="J131" s="316">
        <v>242</v>
      </c>
      <c r="K131" s="316">
        <v>2.85</v>
      </c>
      <c r="L131" s="102">
        <f t="shared" si="6"/>
        <v>263.85000000000002</v>
      </c>
      <c r="M131" s="50">
        <f t="shared" si="1"/>
        <v>7.6</v>
      </c>
      <c r="N131" s="102">
        <f t="shared" si="7"/>
        <v>76</v>
      </c>
      <c r="O131" s="102">
        <f t="shared" si="8"/>
        <v>968</v>
      </c>
      <c r="P131" s="102">
        <f t="shared" si="9"/>
        <v>11.4</v>
      </c>
      <c r="Q131" s="103">
        <f t="shared" si="10"/>
        <v>1055.4000000000001</v>
      </c>
      <c r="R131" s="805"/>
    </row>
    <row r="132" spans="1:18" s="56" customFormat="1" ht="24.9">
      <c r="A132" s="217">
        <v>119</v>
      </c>
      <c r="B132" s="238"/>
      <c r="C132" s="224" t="s">
        <v>397</v>
      </c>
      <c r="D132" s="224" t="s">
        <v>401</v>
      </c>
      <c r="E132" s="219" t="s">
        <v>118</v>
      </c>
      <c r="F132" s="311">
        <v>4</v>
      </c>
      <c r="G132" s="220">
        <v>1.9</v>
      </c>
      <c r="H132" s="220">
        <v>10</v>
      </c>
      <c r="I132" s="316">
        <v>19</v>
      </c>
      <c r="J132" s="316">
        <v>305</v>
      </c>
      <c r="K132" s="316">
        <v>2.85</v>
      </c>
      <c r="L132" s="102">
        <f t="shared" si="6"/>
        <v>326.85000000000002</v>
      </c>
      <c r="M132" s="50">
        <f t="shared" si="1"/>
        <v>7.6</v>
      </c>
      <c r="N132" s="102">
        <f t="shared" si="7"/>
        <v>76</v>
      </c>
      <c r="O132" s="102">
        <f t="shared" si="8"/>
        <v>1220</v>
      </c>
      <c r="P132" s="102">
        <f t="shared" si="9"/>
        <v>11.4</v>
      </c>
      <c r="Q132" s="103">
        <f t="shared" si="10"/>
        <v>1307.4000000000001</v>
      </c>
      <c r="R132" s="805"/>
    </row>
    <row r="133" spans="1:18" s="56" customFormat="1" ht="24.9">
      <c r="A133" s="217">
        <v>120</v>
      </c>
      <c r="B133" s="238"/>
      <c r="C133" s="224" t="s">
        <v>397</v>
      </c>
      <c r="D133" s="224" t="s">
        <v>402</v>
      </c>
      <c r="E133" s="219" t="s">
        <v>118</v>
      </c>
      <c r="F133" s="311">
        <v>5</v>
      </c>
      <c r="G133" s="220">
        <v>1.9</v>
      </c>
      <c r="H133" s="220">
        <v>10</v>
      </c>
      <c r="I133" s="316">
        <v>19</v>
      </c>
      <c r="J133" s="316">
        <v>4037</v>
      </c>
      <c r="K133" s="316">
        <v>2.85</v>
      </c>
      <c r="L133" s="102">
        <f t="shared" si="6"/>
        <v>4058.85</v>
      </c>
      <c r="M133" s="50">
        <f t="shared" si="1"/>
        <v>9.5</v>
      </c>
      <c r="N133" s="102">
        <f t="shared" si="7"/>
        <v>95</v>
      </c>
      <c r="O133" s="102">
        <f t="shared" si="8"/>
        <v>20185</v>
      </c>
      <c r="P133" s="102">
        <f t="shared" si="9"/>
        <v>14.25</v>
      </c>
      <c r="Q133" s="103">
        <f t="shared" si="10"/>
        <v>20294.25</v>
      </c>
      <c r="R133" s="805"/>
    </row>
    <row r="134" spans="1:18" s="56" customFormat="1">
      <c r="A134" s="217">
        <v>121</v>
      </c>
      <c r="B134" s="238"/>
      <c r="C134" s="224" t="s">
        <v>403</v>
      </c>
      <c r="D134" s="224"/>
      <c r="E134" s="219" t="s">
        <v>118</v>
      </c>
      <c r="F134" s="311">
        <v>156</v>
      </c>
      <c r="G134" s="220">
        <v>0.45</v>
      </c>
      <c r="H134" s="220">
        <v>10</v>
      </c>
      <c r="I134" s="316">
        <v>4.5</v>
      </c>
      <c r="J134" s="316">
        <v>10.3</v>
      </c>
      <c r="K134" s="316">
        <v>0.67499999999999993</v>
      </c>
      <c r="L134" s="102">
        <f t="shared" si="6"/>
        <v>15.475000000000001</v>
      </c>
      <c r="M134" s="50">
        <f t="shared" si="1"/>
        <v>70.2</v>
      </c>
      <c r="N134" s="102">
        <f t="shared" si="7"/>
        <v>702</v>
      </c>
      <c r="O134" s="102">
        <f t="shared" si="8"/>
        <v>1606.8</v>
      </c>
      <c r="P134" s="102">
        <f t="shared" si="9"/>
        <v>105.3</v>
      </c>
      <c r="Q134" s="103">
        <f t="shared" si="10"/>
        <v>2414.1000000000004</v>
      </c>
      <c r="R134" s="805"/>
    </row>
    <row r="135" spans="1:18" s="56" customFormat="1" ht="24.9">
      <c r="A135" s="217">
        <v>122</v>
      </c>
      <c r="B135" s="238"/>
      <c r="C135" s="224" t="s">
        <v>404</v>
      </c>
      <c r="D135" s="224" t="s">
        <v>405</v>
      </c>
      <c r="E135" s="219" t="s">
        <v>406</v>
      </c>
      <c r="F135" s="311">
        <v>100</v>
      </c>
      <c r="G135" s="220">
        <v>0.45</v>
      </c>
      <c r="H135" s="220">
        <v>10</v>
      </c>
      <c r="I135" s="316">
        <v>4.5</v>
      </c>
      <c r="J135" s="316">
        <v>2.25</v>
      </c>
      <c r="K135" s="316">
        <v>0.67499999999999993</v>
      </c>
      <c r="L135" s="102">
        <f t="shared" si="6"/>
        <v>7.4249999999999998</v>
      </c>
      <c r="M135" s="50">
        <f t="shared" si="1"/>
        <v>45</v>
      </c>
      <c r="N135" s="102">
        <f t="shared" si="7"/>
        <v>450</v>
      </c>
      <c r="O135" s="102">
        <f t="shared" si="8"/>
        <v>225</v>
      </c>
      <c r="P135" s="102">
        <f t="shared" si="9"/>
        <v>67.5</v>
      </c>
      <c r="Q135" s="103">
        <f t="shared" si="10"/>
        <v>742.5</v>
      </c>
      <c r="R135" s="805"/>
    </row>
    <row r="136" spans="1:18" s="56" customFormat="1" ht="24.9">
      <c r="A136" s="217">
        <v>123</v>
      </c>
      <c r="B136" s="238"/>
      <c r="C136" s="224" t="s">
        <v>404</v>
      </c>
      <c r="D136" s="224" t="s">
        <v>407</v>
      </c>
      <c r="E136" s="219" t="s">
        <v>406</v>
      </c>
      <c r="F136" s="311">
        <v>1200</v>
      </c>
      <c r="G136" s="220">
        <v>0.45</v>
      </c>
      <c r="H136" s="220">
        <v>10</v>
      </c>
      <c r="I136" s="316">
        <v>4.5</v>
      </c>
      <c r="J136" s="316">
        <v>3.4</v>
      </c>
      <c r="K136" s="316">
        <v>0.67499999999999993</v>
      </c>
      <c r="L136" s="102">
        <f t="shared" si="6"/>
        <v>8.5750000000000011</v>
      </c>
      <c r="M136" s="50">
        <f t="shared" si="1"/>
        <v>540</v>
      </c>
      <c r="N136" s="102">
        <f t="shared" si="7"/>
        <v>5400</v>
      </c>
      <c r="O136" s="102">
        <f t="shared" si="8"/>
        <v>4080</v>
      </c>
      <c r="P136" s="102">
        <f t="shared" si="9"/>
        <v>810</v>
      </c>
      <c r="Q136" s="103">
        <f t="shared" si="10"/>
        <v>10290</v>
      </c>
      <c r="R136" s="805"/>
    </row>
    <row r="137" spans="1:18" s="56" customFormat="1" ht="24.9">
      <c r="A137" s="217">
        <v>124</v>
      </c>
      <c r="B137" s="238"/>
      <c r="C137" s="224" t="s">
        <v>408</v>
      </c>
      <c r="D137" s="224" t="s">
        <v>409</v>
      </c>
      <c r="E137" s="219" t="s">
        <v>406</v>
      </c>
      <c r="F137" s="311">
        <v>450</v>
      </c>
      <c r="G137" s="220">
        <v>0.6</v>
      </c>
      <c r="H137" s="220">
        <v>10</v>
      </c>
      <c r="I137" s="316">
        <v>6</v>
      </c>
      <c r="J137" s="316">
        <v>7.8</v>
      </c>
      <c r="K137" s="316">
        <v>0.89999999999999991</v>
      </c>
      <c r="L137" s="102">
        <f t="shared" si="6"/>
        <v>14.700000000000001</v>
      </c>
      <c r="M137" s="50">
        <f t="shared" si="1"/>
        <v>270</v>
      </c>
      <c r="N137" s="102">
        <f t="shared" si="7"/>
        <v>2700</v>
      </c>
      <c r="O137" s="102">
        <f t="shared" si="8"/>
        <v>3510</v>
      </c>
      <c r="P137" s="102">
        <f t="shared" si="9"/>
        <v>405</v>
      </c>
      <c r="Q137" s="103">
        <f t="shared" si="10"/>
        <v>6615</v>
      </c>
      <c r="R137" s="805"/>
    </row>
    <row r="138" spans="1:18" s="56" customFormat="1">
      <c r="A138" s="217">
        <v>125</v>
      </c>
      <c r="B138" s="238"/>
      <c r="C138" s="224" t="s">
        <v>410</v>
      </c>
      <c r="D138" s="224"/>
      <c r="E138" s="219" t="s">
        <v>136</v>
      </c>
      <c r="F138" s="311">
        <v>1</v>
      </c>
      <c r="G138" s="220"/>
      <c r="H138" s="220"/>
      <c r="I138" s="316">
        <v>0</v>
      </c>
      <c r="J138" s="316">
        <v>140</v>
      </c>
      <c r="K138" s="316">
        <v>0</v>
      </c>
      <c r="L138" s="102">
        <f t="shared" si="6"/>
        <v>140</v>
      </c>
      <c r="M138" s="50">
        <f t="shared" si="1"/>
        <v>0</v>
      </c>
      <c r="N138" s="102">
        <f t="shared" si="7"/>
        <v>0</v>
      </c>
      <c r="O138" s="102">
        <f t="shared" si="8"/>
        <v>140</v>
      </c>
      <c r="P138" s="102">
        <f t="shared" si="9"/>
        <v>0</v>
      </c>
      <c r="Q138" s="103">
        <f t="shared" si="10"/>
        <v>140</v>
      </c>
      <c r="R138" s="805"/>
    </row>
    <row r="139" spans="1:18" s="56" customFormat="1">
      <c r="A139" s="217">
        <v>126</v>
      </c>
      <c r="B139" s="238"/>
      <c r="C139" s="224" t="s">
        <v>411</v>
      </c>
      <c r="D139" s="224"/>
      <c r="E139" s="219" t="s">
        <v>136</v>
      </c>
      <c r="F139" s="311">
        <v>1</v>
      </c>
      <c r="G139" s="220">
        <v>111</v>
      </c>
      <c r="H139" s="220">
        <v>10</v>
      </c>
      <c r="I139" s="316">
        <v>1110</v>
      </c>
      <c r="J139" s="316">
        <v>3530</v>
      </c>
      <c r="K139" s="316">
        <v>166.5</v>
      </c>
      <c r="L139" s="102">
        <f t="shared" si="6"/>
        <v>4806.5</v>
      </c>
      <c r="M139" s="50">
        <f t="shared" si="1"/>
        <v>111</v>
      </c>
      <c r="N139" s="102">
        <f t="shared" si="7"/>
        <v>1110</v>
      </c>
      <c r="O139" s="102">
        <f t="shared" si="8"/>
        <v>3530</v>
      </c>
      <c r="P139" s="102">
        <f t="shared" si="9"/>
        <v>166.5</v>
      </c>
      <c r="Q139" s="103">
        <f t="shared" si="10"/>
        <v>4806.5</v>
      </c>
      <c r="R139" s="806"/>
    </row>
    <row r="140" spans="1:18" s="56" customFormat="1">
      <c r="A140" s="217">
        <v>127</v>
      </c>
      <c r="B140" s="238"/>
      <c r="C140" s="224" t="s">
        <v>412</v>
      </c>
      <c r="D140" s="224"/>
      <c r="E140" s="219" t="s">
        <v>136</v>
      </c>
      <c r="F140" s="311">
        <v>1</v>
      </c>
      <c r="G140" s="220">
        <v>48</v>
      </c>
      <c r="H140" s="220">
        <v>10</v>
      </c>
      <c r="I140" s="316">
        <v>480</v>
      </c>
      <c r="J140" s="316"/>
      <c r="K140" s="316">
        <v>72</v>
      </c>
      <c r="L140" s="102">
        <f t="shared" si="6"/>
        <v>552</v>
      </c>
      <c r="M140" s="50">
        <f t="shared" si="1"/>
        <v>48</v>
      </c>
      <c r="N140" s="102">
        <f t="shared" si="7"/>
        <v>480</v>
      </c>
      <c r="O140" s="102">
        <f t="shared" si="8"/>
        <v>0</v>
      </c>
      <c r="P140" s="102">
        <f t="shared" si="9"/>
        <v>72</v>
      </c>
      <c r="Q140" s="103">
        <f t="shared" si="10"/>
        <v>552</v>
      </c>
      <c r="R140" s="805"/>
    </row>
    <row r="141" spans="1:18" s="56" customFormat="1" ht="24.9">
      <c r="A141" s="217">
        <v>128</v>
      </c>
      <c r="B141" s="238"/>
      <c r="C141" s="224" t="s">
        <v>413</v>
      </c>
      <c r="D141" s="224"/>
      <c r="E141" s="219" t="s">
        <v>136</v>
      </c>
      <c r="F141" s="311">
        <v>1</v>
      </c>
      <c r="G141" s="220">
        <v>6.5</v>
      </c>
      <c r="H141" s="220">
        <v>10</v>
      </c>
      <c r="I141" s="316">
        <v>65</v>
      </c>
      <c r="J141" s="316">
        <v>237</v>
      </c>
      <c r="K141" s="316">
        <v>9.75</v>
      </c>
      <c r="L141" s="102">
        <f t="shared" si="6"/>
        <v>311.75</v>
      </c>
      <c r="M141" s="50">
        <f t="shared" si="1"/>
        <v>6.5</v>
      </c>
      <c r="N141" s="102">
        <f t="shared" si="7"/>
        <v>65</v>
      </c>
      <c r="O141" s="102">
        <f t="shared" si="8"/>
        <v>237</v>
      </c>
      <c r="P141" s="102">
        <f t="shared" si="9"/>
        <v>9.75</v>
      </c>
      <c r="Q141" s="103">
        <f t="shared" si="10"/>
        <v>311.75</v>
      </c>
      <c r="R141" s="806"/>
    </row>
    <row r="142" spans="1:18">
      <c r="A142" s="225"/>
      <c r="B142" s="226"/>
      <c r="C142" s="227"/>
      <c r="D142" s="227"/>
      <c r="E142" s="228"/>
      <c r="F142" s="229"/>
      <c r="G142" s="230">
        <v>0</v>
      </c>
      <c r="H142" s="230">
        <v>0</v>
      </c>
      <c r="I142" s="230"/>
      <c r="J142" s="229"/>
      <c r="K142" s="229"/>
      <c r="L142" s="229"/>
      <c r="M142" s="229"/>
      <c r="N142" s="229"/>
      <c r="O142" s="229"/>
      <c r="P142" s="229"/>
      <c r="Q142" s="243"/>
    </row>
    <row r="143" spans="1:18" ht="15.05" customHeight="1">
      <c r="A143" s="206"/>
      <c r="B143" s="207"/>
      <c r="C143" s="951" t="s">
        <v>99</v>
      </c>
      <c r="D143" s="951"/>
      <c r="E143" s="952"/>
      <c r="F143" s="952"/>
      <c r="G143" s="952"/>
      <c r="H143" s="952"/>
      <c r="I143" s="952"/>
      <c r="J143" s="952"/>
      <c r="K143" s="952"/>
      <c r="L143" s="952"/>
      <c r="M143" s="208">
        <f>SUM(M13:M142)</f>
        <v>3952.6499999999992</v>
      </c>
      <c r="N143" s="208">
        <f>SUM(N13:N142)</f>
        <v>37493.699999999997</v>
      </c>
      <c r="O143" s="208">
        <f>SUM(O13:O142)</f>
        <v>295837.25999999995</v>
      </c>
      <c r="P143" s="208">
        <f>SUM(P13:P142)</f>
        <v>5624.1000000000022</v>
      </c>
      <c r="Q143" s="208">
        <f>SUM(Q13:Q142)</f>
        <v>338955.06000000029</v>
      </c>
    </row>
    <row r="144" spans="1:18" s="125" customFormat="1">
      <c r="J144" s="146"/>
    </row>
    <row r="145" spans="1:17" s="122" customFormat="1" ht="12.8" customHeight="1">
      <c r="B145" s="147" t="s">
        <v>54</v>
      </c>
    </row>
    <row r="146" spans="1:17" s="122" customFormat="1" ht="45" customHeight="1">
      <c r="A146"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46" s="926"/>
      <c r="C146" s="926"/>
      <c r="D146" s="926"/>
      <c r="E146" s="926"/>
      <c r="F146" s="926"/>
      <c r="G146" s="926"/>
      <c r="H146" s="926"/>
      <c r="I146" s="926"/>
      <c r="J146" s="926"/>
      <c r="K146" s="926"/>
      <c r="L146" s="926"/>
      <c r="M146" s="926"/>
      <c r="N146" s="926"/>
      <c r="O146" s="926"/>
      <c r="P146" s="926"/>
      <c r="Q146" s="926"/>
    </row>
    <row r="147" spans="1:17" s="122" customFormat="1" ht="76.75" customHeight="1">
      <c r="A147" s="925"/>
      <c r="B147" s="925"/>
      <c r="C147" s="925"/>
      <c r="D147" s="925"/>
      <c r="E147" s="925"/>
      <c r="F147" s="925"/>
      <c r="G147" s="925"/>
      <c r="H147" s="925"/>
      <c r="I147" s="925"/>
      <c r="J147" s="925"/>
      <c r="K147" s="925"/>
      <c r="L147" s="925"/>
      <c r="M147" s="925"/>
      <c r="N147" s="925"/>
      <c r="O147" s="925"/>
      <c r="P147" s="925"/>
      <c r="Q147" s="925"/>
    </row>
    <row r="148" spans="1:17" s="122" customFormat="1" ht="12.8" customHeight="1">
      <c r="B148" s="148"/>
    </row>
    <row r="149" spans="1:17" s="122" customFormat="1" ht="12.8" customHeight="1">
      <c r="B149" s="148"/>
    </row>
    <row r="150" spans="1:17" s="125" customFormat="1">
      <c r="B150" s="125" t="s">
        <v>8</v>
      </c>
      <c r="M150" s="157" t="str">
        <f>Koptame!B39</f>
        <v>Pārbaudīja:</v>
      </c>
      <c r="N150" s="157"/>
      <c r="O150" s="157"/>
      <c r="P150" s="157"/>
      <c r="Q150" s="157"/>
    </row>
    <row r="151" spans="1:17" s="125" customFormat="1">
      <c r="C151" s="175" t="str">
        <f>Koptame!C34</f>
        <v>Arnis Gailītis</v>
      </c>
      <c r="D151" s="191"/>
      <c r="M151" s="175"/>
      <c r="N151" s="922" t="str">
        <f>Koptame!C40</f>
        <v>Dzintra Cīrule</v>
      </c>
      <c r="O151" s="922"/>
      <c r="P151" s="157"/>
      <c r="Q151" s="157"/>
    </row>
    <row r="152" spans="1:17" s="125" customFormat="1">
      <c r="C152" s="176" t="str">
        <f>Koptame!C35</f>
        <v>Sertifikāta Nr.20-5643</v>
      </c>
      <c r="D152" s="192"/>
      <c r="M152" s="176"/>
      <c r="N152" s="923" t="str">
        <f>Koptame!C41</f>
        <v>Sertifikāta Nr.10-0363</v>
      </c>
      <c r="O152" s="923"/>
      <c r="P152" s="157"/>
      <c r="Q152" s="157"/>
    </row>
    <row r="153" spans="1:17" s="125" customFormat="1" collapsed="1">
      <c r="B153" s="146"/>
      <c r="G153" s="146"/>
      <c r="H153" s="146"/>
    </row>
    <row r="154" spans="1:17">
      <c r="B154" s="56"/>
      <c r="G154" s="56"/>
      <c r="H154" s="56"/>
    </row>
    <row r="155" spans="1:17">
      <c r="B155" s="56"/>
      <c r="G155" s="56"/>
      <c r="H155" s="56"/>
    </row>
  </sheetData>
  <mergeCells count="18">
    <mergeCell ref="C13:D13"/>
    <mergeCell ref="N152:O152"/>
    <mergeCell ref="C143:L143"/>
    <mergeCell ref="A147:Q147"/>
    <mergeCell ref="N151:O151"/>
    <mergeCell ref="A146:Q146"/>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9"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91"/>
  <sheetViews>
    <sheetView showZeros="0" view="pageBreakPreview" topLeftCell="A67" zoomScale="90" zoomScaleNormal="100" zoomScaleSheetLayoutView="90" workbookViewId="0">
      <selection activeCell="L23" sqref="L23"/>
    </sheetView>
  </sheetViews>
  <sheetFormatPr defaultColWidth="9.125" defaultRowHeight="14.4"/>
  <cols>
    <col min="1" max="1" width="9" style="19" customWidth="1"/>
    <col min="2" max="2" width="9.375" style="19" customWidth="1"/>
    <col min="3" max="3" width="40.25" style="19" customWidth="1"/>
    <col min="4" max="4" width="19.75" style="19" customWidth="1"/>
    <col min="5" max="5" width="8.125" style="19" customWidth="1"/>
    <col min="6" max="9" width="9.125" style="19"/>
    <col min="10" max="10" width="11.625" style="56" customWidth="1"/>
    <col min="11" max="11" width="9.125" style="19"/>
    <col min="12" max="12" width="11.375" style="19" customWidth="1"/>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10" t="str">
        <f>kops2!B25</f>
        <v>2,5</v>
      </c>
      <c r="J1" s="53"/>
    </row>
    <row r="2" spans="1:17" s="24" customFormat="1">
      <c r="A2" s="919" t="str">
        <f>C13</f>
        <v>Gaisa kondicionēšana</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Q79</f>
        <v>161466.20999999996</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209"/>
      <c r="B13" s="210">
        <v>0</v>
      </c>
      <c r="C13" s="949" t="str">
        <f>kops2!C25</f>
        <v>Gaisa kondicionēšana</v>
      </c>
      <c r="D13" s="950"/>
      <c r="E13" s="212"/>
      <c r="F13" s="213"/>
      <c r="G13" s="251">
        <v>0</v>
      </c>
      <c r="H13" s="251">
        <v>0</v>
      </c>
      <c r="I13" s="216">
        <v>0</v>
      </c>
      <c r="J13" s="215">
        <v>0</v>
      </c>
      <c r="K13" s="215">
        <v>0</v>
      </c>
      <c r="L13" s="215">
        <f t="shared" ref="L13" si="0">SUM(I13:K13)</f>
        <v>0</v>
      </c>
      <c r="M13" s="214">
        <f t="shared" ref="M13:M77" si="1">ROUND(G13*F13,2)</f>
        <v>0</v>
      </c>
      <c r="N13" s="215">
        <f t="shared" ref="N13" si="2">ROUND(I13*F13,2)</f>
        <v>0</v>
      </c>
      <c r="O13" s="215">
        <f t="shared" ref="O13" si="3">ROUND(J13*F13,2)</f>
        <v>0</v>
      </c>
      <c r="P13" s="215">
        <f t="shared" ref="P13" si="4">ROUND(K13*F13,2)</f>
        <v>0</v>
      </c>
      <c r="Q13" s="244">
        <f t="shared" ref="Q13" si="5">SUM(N13:P13)</f>
        <v>0</v>
      </c>
    </row>
    <row r="14" spans="1:17" s="56" customFormat="1" ht="49.75">
      <c r="A14" s="217">
        <v>1</v>
      </c>
      <c r="B14" s="238"/>
      <c r="C14" s="725" t="s">
        <v>1662</v>
      </c>
      <c r="D14" s="726" t="s">
        <v>1663</v>
      </c>
      <c r="E14" s="702" t="s">
        <v>136</v>
      </c>
      <c r="F14" s="703">
        <v>1</v>
      </c>
      <c r="G14" s="240">
        <v>240</v>
      </c>
      <c r="H14" s="240">
        <v>10</v>
      </c>
      <c r="I14" s="694">
        <v>2400</v>
      </c>
      <c r="J14" s="713">
        <v>90295</v>
      </c>
      <c r="K14" s="694">
        <v>360</v>
      </c>
      <c r="L14" s="102">
        <f t="shared" ref="L14:L65" si="6">SUM(I14:K14)</f>
        <v>93055</v>
      </c>
      <c r="M14" s="50">
        <f t="shared" si="1"/>
        <v>240</v>
      </c>
      <c r="N14" s="102">
        <f t="shared" ref="N14:N65" si="7">ROUND(I14*F14,2)</f>
        <v>2400</v>
      </c>
      <c r="O14" s="102">
        <f t="shared" ref="O14:O65" si="8">ROUND(J14*F14,2)</f>
        <v>90295</v>
      </c>
      <c r="P14" s="102">
        <f t="shared" ref="P14:P65" si="9">ROUND(K14*F14,2)</f>
        <v>360</v>
      </c>
      <c r="Q14" s="103">
        <f t="shared" ref="Q14:Q65" si="10">SUM(N14:P14)</f>
        <v>93055</v>
      </c>
    </row>
    <row r="15" spans="1:17" s="56" customFormat="1" ht="37.35">
      <c r="A15" s="217">
        <v>2</v>
      </c>
      <c r="B15" s="238"/>
      <c r="C15" s="725" t="s">
        <v>1664</v>
      </c>
      <c r="D15" s="727" t="s">
        <v>415</v>
      </c>
      <c r="E15" s="702" t="s">
        <v>136</v>
      </c>
      <c r="F15" s="703">
        <v>2</v>
      </c>
      <c r="G15" s="240">
        <v>12</v>
      </c>
      <c r="H15" s="240">
        <v>10</v>
      </c>
      <c r="I15" s="694">
        <v>120</v>
      </c>
      <c r="J15" s="713">
        <v>1150</v>
      </c>
      <c r="K15" s="694">
        <v>18</v>
      </c>
      <c r="L15" s="102">
        <f t="shared" si="6"/>
        <v>1288</v>
      </c>
      <c r="M15" s="50">
        <f t="shared" si="1"/>
        <v>24</v>
      </c>
      <c r="N15" s="102">
        <f t="shared" si="7"/>
        <v>240</v>
      </c>
      <c r="O15" s="102">
        <f t="shared" si="8"/>
        <v>2300</v>
      </c>
      <c r="P15" s="102">
        <f t="shared" si="9"/>
        <v>36</v>
      </c>
      <c r="Q15" s="103">
        <f t="shared" si="10"/>
        <v>2576</v>
      </c>
    </row>
    <row r="16" spans="1:17" s="56" customFormat="1">
      <c r="A16" s="217">
        <v>3</v>
      </c>
      <c r="B16" s="238"/>
      <c r="C16" s="224" t="s">
        <v>416</v>
      </c>
      <c r="D16" s="224"/>
      <c r="E16" s="219" t="s">
        <v>136</v>
      </c>
      <c r="F16" s="311">
        <v>2</v>
      </c>
      <c r="G16" s="240">
        <v>4.5</v>
      </c>
      <c r="H16" s="240">
        <v>10</v>
      </c>
      <c r="I16" s="694">
        <v>45</v>
      </c>
      <c r="J16" s="694">
        <v>68</v>
      </c>
      <c r="K16" s="694">
        <v>6.75</v>
      </c>
      <c r="L16" s="102">
        <f t="shared" si="6"/>
        <v>119.75</v>
      </c>
      <c r="M16" s="50">
        <f t="shared" si="1"/>
        <v>9</v>
      </c>
      <c r="N16" s="102">
        <f t="shared" si="7"/>
        <v>90</v>
      </c>
      <c r="O16" s="102">
        <f t="shared" si="8"/>
        <v>136</v>
      </c>
      <c r="P16" s="102">
        <f t="shared" si="9"/>
        <v>13.5</v>
      </c>
      <c r="Q16" s="103">
        <f t="shared" si="10"/>
        <v>239.5</v>
      </c>
    </row>
    <row r="17" spans="1:17" s="56" customFormat="1">
      <c r="A17" s="217">
        <v>4</v>
      </c>
      <c r="B17" s="238"/>
      <c r="C17" s="705" t="s">
        <v>246</v>
      </c>
      <c r="D17" s="728" t="s">
        <v>275</v>
      </c>
      <c r="E17" s="707" t="s">
        <v>118</v>
      </c>
      <c r="F17" s="708">
        <v>1</v>
      </c>
      <c r="G17" s="240">
        <v>2.6</v>
      </c>
      <c r="H17" s="240">
        <v>10</v>
      </c>
      <c r="I17" s="699">
        <v>26</v>
      </c>
      <c r="J17" s="699">
        <v>280.37</v>
      </c>
      <c r="K17" s="699">
        <v>3.9</v>
      </c>
      <c r="L17" s="102">
        <f t="shared" si="6"/>
        <v>310.27</v>
      </c>
      <c r="M17" s="50">
        <f t="shared" si="1"/>
        <v>2.6</v>
      </c>
      <c r="N17" s="102">
        <f t="shared" si="7"/>
        <v>26</v>
      </c>
      <c r="O17" s="102">
        <f t="shared" si="8"/>
        <v>280.37</v>
      </c>
      <c r="P17" s="102">
        <f t="shared" si="9"/>
        <v>3.9</v>
      </c>
      <c r="Q17" s="103">
        <f t="shared" si="10"/>
        <v>310.27</v>
      </c>
    </row>
    <row r="18" spans="1:17" s="56" customFormat="1">
      <c r="A18" s="217">
        <v>5</v>
      </c>
      <c r="B18" s="238"/>
      <c r="C18" s="224" t="s">
        <v>246</v>
      </c>
      <c r="D18" s="224" t="s">
        <v>261</v>
      </c>
      <c r="E18" s="219" t="s">
        <v>118</v>
      </c>
      <c r="F18" s="311">
        <v>1</v>
      </c>
      <c r="G18" s="240">
        <v>2.6</v>
      </c>
      <c r="H18" s="240">
        <v>10</v>
      </c>
      <c r="I18" s="694">
        <v>26</v>
      </c>
      <c r="J18" s="694">
        <v>280.37</v>
      </c>
      <c r="K18" s="694">
        <v>3.9</v>
      </c>
      <c r="L18" s="102">
        <f t="shared" ref="L18:L37" si="11">SUM(I18:K18)</f>
        <v>310.27</v>
      </c>
      <c r="M18" s="50">
        <f t="shared" ref="M18:M37" si="12">ROUND(G18*F18,2)</f>
        <v>2.6</v>
      </c>
      <c r="N18" s="102">
        <f t="shared" ref="N18:N37" si="13">ROUND(I18*F18,2)</f>
        <v>26</v>
      </c>
      <c r="O18" s="102">
        <f t="shared" ref="O18:O37" si="14">ROUND(J18*F18,2)</f>
        <v>280.37</v>
      </c>
      <c r="P18" s="102">
        <f t="shared" ref="P18:P37" si="15">ROUND(K18*F18,2)</f>
        <v>3.9</v>
      </c>
      <c r="Q18" s="103">
        <f t="shared" ref="Q18:Q37" si="16">SUM(N18:P18)</f>
        <v>310.27</v>
      </c>
    </row>
    <row r="19" spans="1:17" s="56" customFormat="1">
      <c r="A19" s="217">
        <v>6</v>
      </c>
      <c r="B19" s="238"/>
      <c r="C19" s="224" t="s">
        <v>246</v>
      </c>
      <c r="D19" s="224" t="s">
        <v>264</v>
      </c>
      <c r="E19" s="219" t="s">
        <v>118</v>
      </c>
      <c r="F19" s="311">
        <v>1</v>
      </c>
      <c r="G19" s="240">
        <v>2.6</v>
      </c>
      <c r="H19" s="240">
        <v>10</v>
      </c>
      <c r="I19" s="694">
        <v>26</v>
      </c>
      <c r="J19" s="694">
        <v>444.12</v>
      </c>
      <c r="K19" s="694">
        <v>3.9</v>
      </c>
      <c r="L19" s="102">
        <f t="shared" si="11"/>
        <v>474.02</v>
      </c>
      <c r="M19" s="50">
        <f t="shared" si="12"/>
        <v>2.6</v>
      </c>
      <c r="N19" s="102">
        <f t="shared" si="13"/>
        <v>26</v>
      </c>
      <c r="O19" s="102">
        <f t="shared" si="14"/>
        <v>444.12</v>
      </c>
      <c r="P19" s="102">
        <f t="shared" si="15"/>
        <v>3.9</v>
      </c>
      <c r="Q19" s="103">
        <f t="shared" si="16"/>
        <v>474.02</v>
      </c>
    </row>
    <row r="20" spans="1:17" s="56" customFormat="1">
      <c r="A20" s="217">
        <v>7</v>
      </c>
      <c r="B20" s="238"/>
      <c r="C20" s="224" t="s">
        <v>246</v>
      </c>
      <c r="D20" s="224" t="s">
        <v>417</v>
      </c>
      <c r="E20" s="219" t="s">
        <v>118</v>
      </c>
      <c r="F20" s="311">
        <v>1</v>
      </c>
      <c r="G20" s="240">
        <v>2.6</v>
      </c>
      <c r="H20" s="240">
        <v>10</v>
      </c>
      <c r="I20" s="694">
        <v>26</v>
      </c>
      <c r="J20" s="694">
        <v>580.37</v>
      </c>
      <c r="K20" s="694">
        <v>3.9</v>
      </c>
      <c r="L20" s="102">
        <f t="shared" si="11"/>
        <v>610.27</v>
      </c>
      <c r="M20" s="50">
        <f t="shared" si="12"/>
        <v>2.6</v>
      </c>
      <c r="N20" s="102">
        <f t="shared" si="13"/>
        <v>26</v>
      </c>
      <c r="O20" s="102">
        <f t="shared" si="14"/>
        <v>580.37</v>
      </c>
      <c r="P20" s="102">
        <f t="shared" si="15"/>
        <v>3.9</v>
      </c>
      <c r="Q20" s="103">
        <f t="shared" si="16"/>
        <v>610.27</v>
      </c>
    </row>
    <row r="21" spans="1:17" s="56" customFormat="1">
      <c r="A21" s="217">
        <v>8</v>
      </c>
      <c r="B21" s="238"/>
      <c r="C21" s="705" t="s">
        <v>267</v>
      </c>
      <c r="D21" s="729" t="s">
        <v>1665</v>
      </c>
      <c r="E21" s="707" t="s">
        <v>136</v>
      </c>
      <c r="F21" s="708">
        <v>2</v>
      </c>
      <c r="G21" s="240">
        <v>1.5</v>
      </c>
      <c r="H21" s="240">
        <v>10</v>
      </c>
      <c r="I21" s="699">
        <v>5</v>
      </c>
      <c r="J21" s="699">
        <v>35.909999999999997</v>
      </c>
      <c r="K21" s="699">
        <v>1.7954999999999999</v>
      </c>
      <c r="L21" s="102">
        <f t="shared" si="11"/>
        <v>42.705499999999994</v>
      </c>
      <c r="M21" s="50">
        <f t="shared" si="12"/>
        <v>3</v>
      </c>
      <c r="N21" s="102">
        <f t="shared" si="13"/>
        <v>10</v>
      </c>
      <c r="O21" s="102">
        <f t="shared" si="14"/>
        <v>71.819999999999993</v>
      </c>
      <c r="P21" s="102">
        <f t="shared" si="15"/>
        <v>3.59</v>
      </c>
      <c r="Q21" s="103">
        <f t="shared" si="16"/>
        <v>85.41</v>
      </c>
    </row>
    <row r="22" spans="1:17" s="56" customFormat="1">
      <c r="A22" s="217">
        <v>9</v>
      </c>
      <c r="B22" s="238"/>
      <c r="C22" s="705" t="s">
        <v>267</v>
      </c>
      <c r="D22" s="729" t="s">
        <v>272</v>
      </c>
      <c r="E22" s="707" t="s">
        <v>136</v>
      </c>
      <c r="F22" s="708">
        <v>2</v>
      </c>
      <c r="G22" s="240">
        <v>1.5</v>
      </c>
      <c r="H22" s="240">
        <v>10</v>
      </c>
      <c r="I22" s="699">
        <v>5</v>
      </c>
      <c r="J22" s="699">
        <v>58.06</v>
      </c>
      <c r="K22" s="699">
        <v>2.9030000000000005</v>
      </c>
      <c r="L22" s="102">
        <f t="shared" si="11"/>
        <v>65.963000000000008</v>
      </c>
      <c r="M22" s="50">
        <f t="shared" si="12"/>
        <v>3</v>
      </c>
      <c r="N22" s="102">
        <f t="shared" si="13"/>
        <v>10</v>
      </c>
      <c r="O22" s="102">
        <f t="shared" si="14"/>
        <v>116.12</v>
      </c>
      <c r="P22" s="102">
        <f t="shared" si="15"/>
        <v>5.81</v>
      </c>
      <c r="Q22" s="103">
        <f t="shared" si="16"/>
        <v>131.93</v>
      </c>
    </row>
    <row r="23" spans="1:17" s="56" customFormat="1">
      <c r="A23" s="217">
        <v>10</v>
      </c>
      <c r="B23" s="238"/>
      <c r="C23" s="705" t="s">
        <v>267</v>
      </c>
      <c r="D23" s="729" t="s">
        <v>1666</v>
      </c>
      <c r="E23" s="707" t="s">
        <v>136</v>
      </c>
      <c r="F23" s="708">
        <v>2</v>
      </c>
      <c r="G23" s="698">
        <v>1.8</v>
      </c>
      <c r="H23" s="362">
        <v>10</v>
      </c>
      <c r="I23" s="363">
        <f t="shared" ref="I23" si="17">ROUND(G23*H23,2)</f>
        <v>18</v>
      </c>
      <c r="J23" s="363">
        <v>92.68</v>
      </c>
      <c r="K23" s="377">
        <f t="shared" ref="K23" si="18">I23*0.15</f>
        <v>2.6999999999999997</v>
      </c>
      <c r="L23" s="102">
        <f t="shared" si="11"/>
        <v>113.38000000000001</v>
      </c>
      <c r="M23" s="50">
        <f t="shared" si="12"/>
        <v>3.6</v>
      </c>
      <c r="N23" s="102">
        <f t="shared" si="13"/>
        <v>36</v>
      </c>
      <c r="O23" s="102">
        <f t="shared" si="14"/>
        <v>185.36</v>
      </c>
      <c r="P23" s="102">
        <f t="shared" si="15"/>
        <v>5.4</v>
      </c>
      <c r="Q23" s="103">
        <f t="shared" si="16"/>
        <v>226.76000000000002</v>
      </c>
    </row>
    <row r="24" spans="1:17" s="56" customFormat="1" ht="24.9">
      <c r="A24" s="217">
        <v>11</v>
      </c>
      <c r="B24" s="238"/>
      <c r="C24" s="224" t="s">
        <v>267</v>
      </c>
      <c r="D24" s="224" t="s">
        <v>418</v>
      </c>
      <c r="E24" s="219" t="s">
        <v>136</v>
      </c>
      <c r="F24" s="311">
        <v>1</v>
      </c>
      <c r="G24" s="240">
        <v>2.1</v>
      </c>
      <c r="H24" s="240">
        <v>10</v>
      </c>
      <c r="I24" s="694">
        <v>21</v>
      </c>
      <c r="J24" s="694">
        <v>240</v>
      </c>
      <c r="K24" s="694">
        <v>3.15</v>
      </c>
      <c r="L24" s="102">
        <f t="shared" si="11"/>
        <v>264.14999999999998</v>
      </c>
      <c r="M24" s="50">
        <f t="shared" si="12"/>
        <v>2.1</v>
      </c>
      <c r="N24" s="102">
        <f t="shared" si="13"/>
        <v>21</v>
      </c>
      <c r="O24" s="102">
        <f t="shared" si="14"/>
        <v>240</v>
      </c>
      <c r="P24" s="102">
        <f t="shared" si="15"/>
        <v>3.15</v>
      </c>
      <c r="Q24" s="103">
        <f t="shared" si="16"/>
        <v>264.14999999999998</v>
      </c>
    </row>
    <row r="25" spans="1:17" s="56" customFormat="1">
      <c r="A25" s="217">
        <v>12</v>
      </c>
      <c r="B25" s="238"/>
      <c r="C25" s="224" t="s">
        <v>267</v>
      </c>
      <c r="D25" s="224" t="s">
        <v>419</v>
      </c>
      <c r="E25" s="219" t="s">
        <v>136</v>
      </c>
      <c r="F25" s="311">
        <v>1</v>
      </c>
      <c r="G25" s="240">
        <v>2.1</v>
      </c>
      <c r="H25" s="240">
        <v>10</v>
      </c>
      <c r="I25" s="694">
        <v>21</v>
      </c>
      <c r="J25" s="694">
        <v>328</v>
      </c>
      <c r="K25" s="694">
        <v>3.15</v>
      </c>
      <c r="L25" s="102">
        <f t="shared" si="11"/>
        <v>352.15</v>
      </c>
      <c r="M25" s="50">
        <f t="shared" si="12"/>
        <v>2.1</v>
      </c>
      <c r="N25" s="102">
        <f t="shared" si="13"/>
        <v>21</v>
      </c>
      <c r="O25" s="102">
        <f t="shared" si="14"/>
        <v>328</v>
      </c>
      <c r="P25" s="102">
        <f t="shared" si="15"/>
        <v>3.15</v>
      </c>
      <c r="Q25" s="103">
        <f t="shared" si="16"/>
        <v>352.15</v>
      </c>
    </row>
    <row r="26" spans="1:17" s="56" customFormat="1">
      <c r="A26" s="217">
        <v>13</v>
      </c>
      <c r="B26" s="238"/>
      <c r="C26" s="730" t="s">
        <v>420</v>
      </c>
      <c r="D26" s="729" t="s">
        <v>523</v>
      </c>
      <c r="E26" s="707" t="s">
        <v>118</v>
      </c>
      <c r="F26" s="708">
        <v>2</v>
      </c>
      <c r="G26" s="698">
        <v>0.65</v>
      </c>
      <c r="H26" s="362">
        <v>10</v>
      </c>
      <c r="I26" s="363">
        <f t="shared" ref="I26" si="19">ROUND(G26*H26,2)</f>
        <v>6.5</v>
      </c>
      <c r="J26" s="363">
        <v>10.867768595041323</v>
      </c>
      <c r="K26" s="377">
        <f t="shared" ref="K26" si="20">I26*0.15</f>
        <v>0.97499999999999998</v>
      </c>
      <c r="L26" s="102">
        <f t="shared" si="11"/>
        <v>18.342768595041324</v>
      </c>
      <c r="M26" s="50">
        <f t="shared" si="12"/>
        <v>1.3</v>
      </c>
      <c r="N26" s="102">
        <f t="shared" si="13"/>
        <v>13</v>
      </c>
      <c r="O26" s="102">
        <f t="shared" si="14"/>
        <v>21.74</v>
      </c>
      <c r="P26" s="102">
        <f t="shared" si="15"/>
        <v>1.95</v>
      </c>
      <c r="Q26" s="103">
        <f t="shared" si="16"/>
        <v>36.69</v>
      </c>
    </row>
    <row r="27" spans="1:17" s="56" customFormat="1">
      <c r="A27" s="217">
        <v>14</v>
      </c>
      <c r="B27" s="238"/>
      <c r="C27" s="224" t="s">
        <v>420</v>
      </c>
      <c r="D27" s="224" t="s">
        <v>421</v>
      </c>
      <c r="E27" s="219" t="s">
        <v>118</v>
      </c>
      <c r="F27" s="311">
        <v>2</v>
      </c>
      <c r="G27" s="240">
        <v>0.65</v>
      </c>
      <c r="H27" s="240">
        <v>10</v>
      </c>
      <c r="I27" s="694">
        <v>6.5</v>
      </c>
      <c r="J27" s="694">
        <v>27.87</v>
      </c>
      <c r="K27" s="694">
        <v>0.97499999999999998</v>
      </c>
      <c r="L27" s="102">
        <f t="shared" si="11"/>
        <v>35.345000000000006</v>
      </c>
      <c r="M27" s="50">
        <f t="shared" si="12"/>
        <v>1.3</v>
      </c>
      <c r="N27" s="102">
        <f t="shared" si="13"/>
        <v>13</v>
      </c>
      <c r="O27" s="102">
        <f t="shared" si="14"/>
        <v>55.74</v>
      </c>
      <c r="P27" s="102">
        <f t="shared" si="15"/>
        <v>1.95</v>
      </c>
      <c r="Q27" s="103">
        <f t="shared" si="16"/>
        <v>70.690000000000012</v>
      </c>
    </row>
    <row r="28" spans="1:17" s="56" customFormat="1">
      <c r="A28" s="217">
        <v>15</v>
      </c>
      <c r="B28" s="238"/>
      <c r="C28" s="224" t="s">
        <v>420</v>
      </c>
      <c r="D28" s="224" t="s">
        <v>423</v>
      </c>
      <c r="E28" s="219" t="s">
        <v>118</v>
      </c>
      <c r="F28" s="311">
        <v>2</v>
      </c>
      <c r="G28" s="240">
        <v>0.8</v>
      </c>
      <c r="H28" s="240">
        <v>10</v>
      </c>
      <c r="I28" s="694">
        <v>4.8</v>
      </c>
      <c r="J28" s="694">
        <v>97.61</v>
      </c>
      <c r="K28" s="694">
        <v>0.72</v>
      </c>
      <c r="L28" s="102">
        <f t="shared" si="11"/>
        <v>103.13</v>
      </c>
      <c r="M28" s="50">
        <f t="shared" si="12"/>
        <v>1.6</v>
      </c>
      <c r="N28" s="102">
        <f t="shared" si="13"/>
        <v>9.6</v>
      </c>
      <c r="O28" s="102">
        <f t="shared" si="14"/>
        <v>195.22</v>
      </c>
      <c r="P28" s="102">
        <f t="shared" si="15"/>
        <v>1.44</v>
      </c>
      <c r="Q28" s="103">
        <f t="shared" si="16"/>
        <v>206.26</v>
      </c>
    </row>
    <row r="29" spans="1:17" s="56" customFormat="1">
      <c r="A29" s="217">
        <v>16</v>
      </c>
      <c r="B29" s="238"/>
      <c r="C29" s="224" t="s">
        <v>420</v>
      </c>
      <c r="D29" s="224" t="s">
        <v>424</v>
      </c>
      <c r="E29" s="219" t="s">
        <v>118</v>
      </c>
      <c r="F29" s="311">
        <v>2</v>
      </c>
      <c r="G29" s="240">
        <v>0.8</v>
      </c>
      <c r="H29" s="240">
        <v>10</v>
      </c>
      <c r="I29" s="694">
        <v>8</v>
      </c>
      <c r="J29" s="694">
        <v>178.99</v>
      </c>
      <c r="K29" s="694">
        <v>1.2</v>
      </c>
      <c r="L29" s="102">
        <f t="shared" si="11"/>
        <v>188.19</v>
      </c>
      <c r="M29" s="50">
        <f t="shared" si="12"/>
        <v>1.6</v>
      </c>
      <c r="N29" s="102">
        <f t="shared" si="13"/>
        <v>16</v>
      </c>
      <c r="O29" s="102">
        <f t="shared" si="14"/>
        <v>357.98</v>
      </c>
      <c r="P29" s="102">
        <f t="shared" si="15"/>
        <v>2.4</v>
      </c>
      <c r="Q29" s="103">
        <f t="shared" si="16"/>
        <v>376.38</v>
      </c>
    </row>
    <row r="30" spans="1:17" s="56" customFormat="1">
      <c r="A30" s="217">
        <v>17</v>
      </c>
      <c r="B30" s="238"/>
      <c r="C30" s="224" t="s">
        <v>420</v>
      </c>
      <c r="D30" s="224" t="s">
        <v>425</v>
      </c>
      <c r="E30" s="219" t="s">
        <v>118</v>
      </c>
      <c r="F30" s="311">
        <v>2</v>
      </c>
      <c r="G30" s="240">
        <v>0.8</v>
      </c>
      <c r="H30" s="240">
        <v>10</v>
      </c>
      <c r="I30" s="694">
        <v>8</v>
      </c>
      <c r="J30" s="694">
        <v>260.07</v>
      </c>
      <c r="K30" s="694">
        <v>1.2</v>
      </c>
      <c r="L30" s="102">
        <f t="shared" si="11"/>
        <v>269.27</v>
      </c>
      <c r="M30" s="50">
        <f t="shared" si="12"/>
        <v>1.6</v>
      </c>
      <c r="N30" s="102">
        <f t="shared" si="13"/>
        <v>16</v>
      </c>
      <c r="O30" s="102">
        <f t="shared" si="14"/>
        <v>520.14</v>
      </c>
      <c r="P30" s="102">
        <f t="shared" si="15"/>
        <v>2.4</v>
      </c>
      <c r="Q30" s="103">
        <f t="shared" si="16"/>
        <v>538.54</v>
      </c>
    </row>
    <row r="31" spans="1:17" s="56" customFormat="1">
      <c r="A31" s="217">
        <v>18</v>
      </c>
      <c r="B31" s="238"/>
      <c r="C31" s="705" t="s">
        <v>278</v>
      </c>
      <c r="D31" s="729" t="s">
        <v>523</v>
      </c>
      <c r="E31" s="707" t="s">
        <v>118</v>
      </c>
      <c r="F31" s="708">
        <v>1</v>
      </c>
      <c r="G31" s="698">
        <v>0.65</v>
      </c>
      <c r="H31" s="362">
        <v>10</v>
      </c>
      <c r="I31" s="363">
        <f t="shared" ref="I31" si="21">ROUND(G31*H31,2)</f>
        <v>6.5</v>
      </c>
      <c r="J31" s="363">
        <v>10.199999999999999</v>
      </c>
      <c r="K31" s="377">
        <f t="shared" ref="K31" si="22">I31*0.15</f>
        <v>0.97499999999999998</v>
      </c>
      <c r="L31" s="102">
        <f t="shared" si="11"/>
        <v>17.675000000000001</v>
      </c>
      <c r="M31" s="50">
        <f t="shared" si="12"/>
        <v>0.65</v>
      </c>
      <c r="N31" s="102">
        <f t="shared" si="13"/>
        <v>6.5</v>
      </c>
      <c r="O31" s="102">
        <f t="shared" si="14"/>
        <v>10.199999999999999</v>
      </c>
      <c r="P31" s="102">
        <f t="shared" si="15"/>
        <v>0.98</v>
      </c>
      <c r="Q31" s="103">
        <f t="shared" si="16"/>
        <v>17.68</v>
      </c>
    </row>
    <row r="32" spans="1:17" s="56" customFormat="1">
      <c r="A32" s="217">
        <v>19</v>
      </c>
      <c r="B32" s="238"/>
      <c r="C32" s="224" t="s">
        <v>278</v>
      </c>
      <c r="D32" s="224" t="s">
        <v>421</v>
      </c>
      <c r="E32" s="219" t="s">
        <v>118</v>
      </c>
      <c r="F32" s="311">
        <v>1</v>
      </c>
      <c r="G32" s="240">
        <v>0.65</v>
      </c>
      <c r="H32" s="240">
        <v>10</v>
      </c>
      <c r="I32" s="694">
        <v>6.5</v>
      </c>
      <c r="J32" s="694">
        <v>46.68</v>
      </c>
      <c r="K32" s="694">
        <v>0.97499999999999998</v>
      </c>
      <c r="L32" s="102">
        <f t="shared" si="11"/>
        <v>54.155000000000001</v>
      </c>
      <c r="M32" s="50">
        <f t="shared" si="12"/>
        <v>0.65</v>
      </c>
      <c r="N32" s="102">
        <f t="shared" si="13"/>
        <v>6.5</v>
      </c>
      <c r="O32" s="102">
        <f t="shared" si="14"/>
        <v>46.68</v>
      </c>
      <c r="P32" s="102">
        <f t="shared" si="15"/>
        <v>0.98</v>
      </c>
      <c r="Q32" s="103">
        <f t="shared" si="16"/>
        <v>54.16</v>
      </c>
    </row>
    <row r="33" spans="1:17" s="56" customFormat="1">
      <c r="A33" s="217">
        <v>20</v>
      </c>
      <c r="B33" s="238"/>
      <c r="C33" s="224" t="s">
        <v>278</v>
      </c>
      <c r="D33" s="224" t="s">
        <v>423</v>
      </c>
      <c r="E33" s="219" t="s">
        <v>118</v>
      </c>
      <c r="F33" s="311">
        <v>1</v>
      </c>
      <c r="G33" s="240">
        <v>1.2</v>
      </c>
      <c r="H33" s="240">
        <v>10</v>
      </c>
      <c r="I33" s="694">
        <v>12</v>
      </c>
      <c r="J33" s="694">
        <v>102.8</v>
      </c>
      <c r="K33" s="694">
        <v>1.7999999999999998</v>
      </c>
      <c r="L33" s="102">
        <f t="shared" si="11"/>
        <v>116.6</v>
      </c>
      <c r="M33" s="50">
        <f t="shared" si="12"/>
        <v>1.2</v>
      </c>
      <c r="N33" s="102">
        <f t="shared" si="13"/>
        <v>12</v>
      </c>
      <c r="O33" s="102">
        <f t="shared" si="14"/>
        <v>102.8</v>
      </c>
      <c r="P33" s="102">
        <f t="shared" si="15"/>
        <v>1.8</v>
      </c>
      <c r="Q33" s="103">
        <f t="shared" si="16"/>
        <v>116.6</v>
      </c>
    </row>
    <row r="34" spans="1:17" s="56" customFormat="1">
      <c r="A34" s="217">
        <v>21</v>
      </c>
      <c r="B34" s="238"/>
      <c r="C34" s="224" t="s">
        <v>278</v>
      </c>
      <c r="D34" s="224" t="s">
        <v>424</v>
      </c>
      <c r="E34" s="219" t="s">
        <v>118</v>
      </c>
      <c r="F34" s="311">
        <v>1</v>
      </c>
      <c r="G34" s="240">
        <v>1.2</v>
      </c>
      <c r="H34" s="240">
        <v>10</v>
      </c>
      <c r="I34" s="694">
        <v>12</v>
      </c>
      <c r="J34" s="694">
        <v>154.81</v>
      </c>
      <c r="K34" s="694">
        <v>1.7999999999999998</v>
      </c>
      <c r="L34" s="102">
        <f t="shared" si="11"/>
        <v>168.61</v>
      </c>
      <c r="M34" s="50">
        <f t="shared" si="12"/>
        <v>1.2</v>
      </c>
      <c r="N34" s="102">
        <f t="shared" si="13"/>
        <v>12</v>
      </c>
      <c r="O34" s="102">
        <f t="shared" si="14"/>
        <v>154.81</v>
      </c>
      <c r="P34" s="102">
        <f t="shared" si="15"/>
        <v>1.8</v>
      </c>
      <c r="Q34" s="103">
        <f t="shared" si="16"/>
        <v>168.61</v>
      </c>
    </row>
    <row r="35" spans="1:17" s="56" customFormat="1">
      <c r="A35" s="217">
        <v>22</v>
      </c>
      <c r="B35" s="238"/>
      <c r="C35" s="224" t="s">
        <v>276</v>
      </c>
      <c r="D35" s="224" t="s">
        <v>426</v>
      </c>
      <c r="E35" s="219" t="s">
        <v>118</v>
      </c>
      <c r="F35" s="311">
        <v>8</v>
      </c>
      <c r="G35" s="240">
        <v>0.65</v>
      </c>
      <c r="H35" s="240">
        <v>10</v>
      </c>
      <c r="I35" s="694">
        <v>6.5</v>
      </c>
      <c r="J35" s="694">
        <v>6.7</v>
      </c>
      <c r="K35" s="694">
        <v>0.97499999999999998</v>
      </c>
      <c r="L35" s="102">
        <f t="shared" si="11"/>
        <v>14.174999999999999</v>
      </c>
      <c r="M35" s="50">
        <f t="shared" si="12"/>
        <v>5.2</v>
      </c>
      <c r="N35" s="102">
        <f t="shared" si="13"/>
        <v>52</v>
      </c>
      <c r="O35" s="102">
        <f t="shared" si="14"/>
        <v>53.6</v>
      </c>
      <c r="P35" s="102">
        <f t="shared" si="15"/>
        <v>7.8</v>
      </c>
      <c r="Q35" s="103">
        <f t="shared" si="16"/>
        <v>113.39999999999999</v>
      </c>
    </row>
    <row r="36" spans="1:17" s="56" customFormat="1">
      <c r="A36" s="217">
        <v>23</v>
      </c>
      <c r="B36" s="238"/>
      <c r="C36" s="224" t="s">
        <v>427</v>
      </c>
      <c r="D36" s="224" t="s">
        <v>428</v>
      </c>
      <c r="E36" s="219" t="s">
        <v>118</v>
      </c>
      <c r="F36" s="311">
        <v>12</v>
      </c>
      <c r="G36" s="240">
        <v>0.65</v>
      </c>
      <c r="H36" s="240">
        <v>10</v>
      </c>
      <c r="I36" s="694">
        <v>6.5</v>
      </c>
      <c r="J36" s="694">
        <v>31.19</v>
      </c>
      <c r="K36" s="694">
        <v>0.97499999999999998</v>
      </c>
      <c r="L36" s="102">
        <f t="shared" si="11"/>
        <v>38.664999999999999</v>
      </c>
      <c r="M36" s="50">
        <f t="shared" si="12"/>
        <v>7.8</v>
      </c>
      <c r="N36" s="102">
        <f t="shared" si="13"/>
        <v>78</v>
      </c>
      <c r="O36" s="102">
        <f t="shared" si="14"/>
        <v>374.28</v>
      </c>
      <c r="P36" s="102">
        <f t="shared" si="15"/>
        <v>11.7</v>
      </c>
      <c r="Q36" s="103">
        <f t="shared" si="16"/>
        <v>463.97999999999996</v>
      </c>
    </row>
    <row r="37" spans="1:17" s="56" customFormat="1">
      <c r="A37" s="217">
        <v>24</v>
      </c>
      <c r="B37" s="238"/>
      <c r="C37" s="224" t="s">
        <v>429</v>
      </c>
      <c r="D37" s="224" t="s">
        <v>282</v>
      </c>
      <c r="E37" s="219" t="s">
        <v>118</v>
      </c>
      <c r="F37" s="311">
        <v>12</v>
      </c>
      <c r="G37" s="240">
        <v>0.7</v>
      </c>
      <c r="H37" s="240">
        <v>10</v>
      </c>
      <c r="I37" s="694">
        <v>7</v>
      </c>
      <c r="J37" s="694">
        <v>13.7</v>
      </c>
      <c r="K37" s="694">
        <v>1.05</v>
      </c>
      <c r="L37" s="102">
        <f t="shared" si="11"/>
        <v>21.75</v>
      </c>
      <c r="M37" s="50">
        <f t="shared" si="12"/>
        <v>8.4</v>
      </c>
      <c r="N37" s="102">
        <f t="shared" si="13"/>
        <v>84</v>
      </c>
      <c r="O37" s="102">
        <f t="shared" si="14"/>
        <v>164.4</v>
      </c>
      <c r="P37" s="102">
        <f t="shared" si="15"/>
        <v>12.6</v>
      </c>
      <c r="Q37" s="103">
        <f t="shared" si="16"/>
        <v>261</v>
      </c>
    </row>
    <row r="38" spans="1:17" s="56" customFormat="1">
      <c r="A38" s="217">
        <v>25</v>
      </c>
      <c r="B38" s="238"/>
      <c r="C38" s="224" t="s">
        <v>284</v>
      </c>
      <c r="D38" s="224" t="s">
        <v>426</v>
      </c>
      <c r="E38" s="219" t="s">
        <v>118</v>
      </c>
      <c r="F38" s="311">
        <v>10</v>
      </c>
      <c r="G38" s="240">
        <v>0.7</v>
      </c>
      <c r="H38" s="240">
        <v>10</v>
      </c>
      <c r="I38" s="694">
        <v>7</v>
      </c>
      <c r="J38" s="694">
        <v>12.83</v>
      </c>
      <c r="K38" s="694">
        <v>1.05</v>
      </c>
      <c r="L38" s="102">
        <f t="shared" si="6"/>
        <v>20.88</v>
      </c>
      <c r="M38" s="50">
        <f t="shared" si="1"/>
        <v>7</v>
      </c>
      <c r="N38" s="102">
        <f t="shared" si="7"/>
        <v>70</v>
      </c>
      <c r="O38" s="102">
        <f t="shared" si="8"/>
        <v>128.30000000000001</v>
      </c>
      <c r="P38" s="102">
        <f t="shared" si="9"/>
        <v>10.5</v>
      </c>
      <c r="Q38" s="103">
        <f t="shared" si="10"/>
        <v>208.8</v>
      </c>
    </row>
    <row r="39" spans="1:17" s="56" customFormat="1">
      <c r="A39" s="217">
        <v>26</v>
      </c>
      <c r="B39" s="238"/>
      <c r="C39" s="224" t="s">
        <v>283</v>
      </c>
      <c r="D39" s="224" t="s">
        <v>426</v>
      </c>
      <c r="E39" s="219" t="s">
        <v>118</v>
      </c>
      <c r="F39" s="311">
        <v>8</v>
      </c>
      <c r="G39" s="240">
        <v>0.65</v>
      </c>
      <c r="H39" s="240">
        <v>10</v>
      </c>
      <c r="I39" s="694">
        <v>6.5</v>
      </c>
      <c r="J39" s="694">
        <v>6.36</v>
      </c>
      <c r="K39" s="694">
        <v>0.97499999999999998</v>
      </c>
      <c r="L39" s="102">
        <f t="shared" si="6"/>
        <v>13.834999999999999</v>
      </c>
      <c r="M39" s="50">
        <f t="shared" si="1"/>
        <v>5.2</v>
      </c>
      <c r="N39" s="102">
        <f t="shared" si="7"/>
        <v>52</v>
      </c>
      <c r="O39" s="102">
        <f t="shared" si="8"/>
        <v>50.88</v>
      </c>
      <c r="P39" s="102">
        <f t="shared" si="9"/>
        <v>7.8</v>
      </c>
      <c r="Q39" s="103">
        <f t="shared" si="10"/>
        <v>110.67999999999999</v>
      </c>
    </row>
    <row r="40" spans="1:17" s="56" customFormat="1">
      <c r="A40" s="217">
        <v>27</v>
      </c>
      <c r="B40" s="238"/>
      <c r="C40" s="731" t="s">
        <v>258</v>
      </c>
      <c r="D40" s="729" t="s">
        <v>523</v>
      </c>
      <c r="E40" s="219" t="s">
        <v>251</v>
      </c>
      <c r="F40" s="311">
        <v>30</v>
      </c>
      <c r="G40" s="698">
        <v>0.7</v>
      </c>
      <c r="H40" s="362">
        <v>10</v>
      </c>
      <c r="I40" s="363">
        <f t="shared" ref="I40" si="23">ROUND(G40*H40,2)</f>
        <v>7</v>
      </c>
      <c r="J40" s="363">
        <v>3.66</v>
      </c>
      <c r="K40" s="377">
        <f t="shared" ref="K40" si="24">I40*0.15</f>
        <v>1.05</v>
      </c>
      <c r="L40" s="102">
        <f t="shared" si="6"/>
        <v>11.71</v>
      </c>
      <c r="M40" s="50">
        <f t="shared" si="1"/>
        <v>21</v>
      </c>
      <c r="N40" s="102">
        <f t="shared" si="7"/>
        <v>210</v>
      </c>
      <c r="O40" s="102">
        <f t="shared" si="8"/>
        <v>109.8</v>
      </c>
      <c r="P40" s="102">
        <f t="shared" si="9"/>
        <v>31.5</v>
      </c>
      <c r="Q40" s="103">
        <f t="shared" si="10"/>
        <v>351.3</v>
      </c>
    </row>
    <row r="41" spans="1:17" s="56" customFormat="1">
      <c r="A41" s="217">
        <v>28</v>
      </c>
      <c r="B41" s="238"/>
      <c r="C41" s="224" t="s">
        <v>258</v>
      </c>
      <c r="D41" s="224" t="s">
        <v>421</v>
      </c>
      <c r="E41" s="219" t="s">
        <v>251</v>
      </c>
      <c r="F41" s="311">
        <v>30</v>
      </c>
      <c r="G41" s="240">
        <v>0.7</v>
      </c>
      <c r="H41" s="240">
        <v>10</v>
      </c>
      <c r="I41" s="694">
        <v>7</v>
      </c>
      <c r="J41" s="694">
        <v>5.38</v>
      </c>
      <c r="K41" s="694">
        <v>1.05</v>
      </c>
      <c r="L41" s="102">
        <f t="shared" si="6"/>
        <v>13.43</v>
      </c>
      <c r="M41" s="50">
        <f t="shared" si="1"/>
        <v>21</v>
      </c>
      <c r="N41" s="102">
        <f t="shared" si="7"/>
        <v>210</v>
      </c>
      <c r="O41" s="102">
        <f t="shared" si="8"/>
        <v>161.4</v>
      </c>
      <c r="P41" s="102">
        <f t="shared" si="9"/>
        <v>31.5</v>
      </c>
      <c r="Q41" s="103">
        <f t="shared" si="10"/>
        <v>402.9</v>
      </c>
    </row>
    <row r="42" spans="1:17" s="56" customFormat="1">
      <c r="A42" s="217">
        <v>29</v>
      </c>
      <c r="B42" s="238"/>
      <c r="C42" s="224" t="s">
        <v>258</v>
      </c>
      <c r="D42" s="224" t="s">
        <v>430</v>
      </c>
      <c r="E42" s="219" t="s">
        <v>251</v>
      </c>
      <c r="F42" s="311">
        <v>5</v>
      </c>
      <c r="G42" s="240">
        <v>0.9</v>
      </c>
      <c r="H42" s="240">
        <v>10</v>
      </c>
      <c r="I42" s="694">
        <v>9</v>
      </c>
      <c r="J42" s="694">
        <v>7.8</v>
      </c>
      <c r="K42" s="694">
        <v>1.3499999999999999</v>
      </c>
      <c r="L42" s="102">
        <f t="shared" si="6"/>
        <v>18.150000000000002</v>
      </c>
      <c r="M42" s="50">
        <f t="shared" si="1"/>
        <v>4.5</v>
      </c>
      <c r="N42" s="102">
        <f t="shared" si="7"/>
        <v>45</v>
      </c>
      <c r="O42" s="102">
        <f t="shared" si="8"/>
        <v>39</v>
      </c>
      <c r="P42" s="102">
        <f t="shared" si="9"/>
        <v>6.75</v>
      </c>
      <c r="Q42" s="103">
        <f t="shared" si="10"/>
        <v>90.75</v>
      </c>
    </row>
    <row r="43" spans="1:17" s="56" customFormat="1">
      <c r="A43" s="217">
        <v>30</v>
      </c>
      <c r="B43" s="238"/>
      <c r="C43" s="224" t="s">
        <v>258</v>
      </c>
      <c r="D43" s="224" t="s">
        <v>423</v>
      </c>
      <c r="E43" s="219" t="s">
        <v>251</v>
      </c>
      <c r="F43" s="311">
        <v>10</v>
      </c>
      <c r="G43" s="240">
        <v>0.9</v>
      </c>
      <c r="H43" s="240">
        <v>10</v>
      </c>
      <c r="I43" s="694">
        <v>9</v>
      </c>
      <c r="J43" s="694">
        <v>11.69</v>
      </c>
      <c r="K43" s="694">
        <v>1.3499999999999999</v>
      </c>
      <c r="L43" s="102">
        <f t="shared" si="6"/>
        <v>22.04</v>
      </c>
      <c r="M43" s="50">
        <f t="shared" si="1"/>
        <v>9</v>
      </c>
      <c r="N43" s="102">
        <f t="shared" si="7"/>
        <v>90</v>
      </c>
      <c r="O43" s="102">
        <f t="shared" si="8"/>
        <v>116.9</v>
      </c>
      <c r="P43" s="102">
        <f t="shared" si="9"/>
        <v>13.5</v>
      </c>
      <c r="Q43" s="103">
        <f t="shared" si="10"/>
        <v>220.4</v>
      </c>
    </row>
    <row r="44" spans="1:17" s="56" customFormat="1">
      <c r="A44" s="217">
        <v>31</v>
      </c>
      <c r="B44" s="238"/>
      <c r="C44" s="224" t="s">
        <v>258</v>
      </c>
      <c r="D44" s="224" t="s">
        <v>424</v>
      </c>
      <c r="E44" s="219" t="s">
        <v>251</v>
      </c>
      <c r="F44" s="311">
        <v>10</v>
      </c>
      <c r="G44" s="240">
        <v>0.9</v>
      </c>
      <c r="H44" s="240">
        <v>10</v>
      </c>
      <c r="I44" s="694">
        <v>9</v>
      </c>
      <c r="J44" s="694">
        <v>13.8</v>
      </c>
      <c r="K44" s="694">
        <v>1.3499999999999999</v>
      </c>
      <c r="L44" s="102">
        <f t="shared" si="6"/>
        <v>24.150000000000002</v>
      </c>
      <c r="M44" s="50">
        <f t="shared" si="1"/>
        <v>9</v>
      </c>
      <c r="N44" s="102">
        <f t="shared" si="7"/>
        <v>90</v>
      </c>
      <c r="O44" s="102">
        <f t="shared" si="8"/>
        <v>138</v>
      </c>
      <c r="P44" s="102">
        <f t="shared" si="9"/>
        <v>13.5</v>
      </c>
      <c r="Q44" s="103">
        <f t="shared" si="10"/>
        <v>241.5</v>
      </c>
    </row>
    <row r="45" spans="1:17" s="56" customFormat="1">
      <c r="A45" s="217">
        <v>32</v>
      </c>
      <c r="B45" s="238"/>
      <c r="C45" s="224" t="s">
        <v>258</v>
      </c>
      <c r="D45" s="224" t="s">
        <v>425</v>
      </c>
      <c r="E45" s="219" t="s">
        <v>251</v>
      </c>
      <c r="F45" s="311">
        <v>40</v>
      </c>
      <c r="G45" s="240">
        <v>1.1000000000000001</v>
      </c>
      <c r="H45" s="240">
        <v>10</v>
      </c>
      <c r="I45" s="694">
        <v>11</v>
      </c>
      <c r="J45" s="694">
        <v>19.32</v>
      </c>
      <c r="K45" s="694">
        <v>1.65</v>
      </c>
      <c r="L45" s="102">
        <f t="shared" si="6"/>
        <v>31.97</v>
      </c>
      <c r="M45" s="50">
        <f t="shared" si="1"/>
        <v>44</v>
      </c>
      <c r="N45" s="102">
        <f t="shared" si="7"/>
        <v>440</v>
      </c>
      <c r="O45" s="102">
        <f t="shared" si="8"/>
        <v>772.8</v>
      </c>
      <c r="P45" s="102">
        <f t="shared" si="9"/>
        <v>66</v>
      </c>
      <c r="Q45" s="103">
        <f t="shared" si="10"/>
        <v>1278.8</v>
      </c>
    </row>
    <row r="46" spans="1:17" s="56" customFormat="1">
      <c r="A46" s="217">
        <v>33</v>
      </c>
      <c r="B46" s="238"/>
      <c r="C46" s="224" t="s">
        <v>265</v>
      </c>
      <c r="D46" s="224" t="s">
        <v>266</v>
      </c>
      <c r="E46" s="219" t="s">
        <v>251</v>
      </c>
      <c r="F46" s="311">
        <v>4</v>
      </c>
      <c r="G46" s="240">
        <v>0.62</v>
      </c>
      <c r="H46" s="240">
        <v>10</v>
      </c>
      <c r="I46" s="694">
        <v>6.2</v>
      </c>
      <c r="J46" s="694">
        <v>2.6</v>
      </c>
      <c r="K46" s="694">
        <v>0.92999999999999994</v>
      </c>
      <c r="L46" s="102">
        <f t="shared" si="6"/>
        <v>9.73</v>
      </c>
      <c r="M46" s="50">
        <f t="shared" si="1"/>
        <v>2.48</v>
      </c>
      <c r="N46" s="102">
        <f t="shared" si="7"/>
        <v>24.8</v>
      </c>
      <c r="O46" s="102">
        <f t="shared" si="8"/>
        <v>10.4</v>
      </c>
      <c r="P46" s="102">
        <f t="shared" si="9"/>
        <v>3.72</v>
      </c>
      <c r="Q46" s="103">
        <f t="shared" si="10"/>
        <v>38.92</v>
      </c>
    </row>
    <row r="47" spans="1:17" s="56" customFormat="1">
      <c r="A47" s="217">
        <v>34</v>
      </c>
      <c r="B47" s="238"/>
      <c r="C47" s="224" t="s">
        <v>431</v>
      </c>
      <c r="D47" s="224" t="s">
        <v>432</v>
      </c>
      <c r="E47" s="219" t="s">
        <v>251</v>
      </c>
      <c r="F47" s="311">
        <v>20</v>
      </c>
      <c r="G47" s="240">
        <v>0.62</v>
      </c>
      <c r="H47" s="240">
        <v>10</v>
      </c>
      <c r="I47" s="694">
        <v>6.2</v>
      </c>
      <c r="J47" s="694">
        <v>2.12</v>
      </c>
      <c r="K47" s="694">
        <v>0.92999999999999994</v>
      </c>
      <c r="L47" s="102">
        <f t="shared" si="6"/>
        <v>9.25</v>
      </c>
      <c r="M47" s="50">
        <f t="shared" si="1"/>
        <v>12.4</v>
      </c>
      <c r="N47" s="102">
        <f t="shared" si="7"/>
        <v>124</v>
      </c>
      <c r="O47" s="102">
        <f t="shared" si="8"/>
        <v>42.4</v>
      </c>
      <c r="P47" s="102">
        <f t="shared" si="9"/>
        <v>18.600000000000001</v>
      </c>
      <c r="Q47" s="103">
        <f t="shared" si="10"/>
        <v>185</v>
      </c>
    </row>
    <row r="48" spans="1:17" s="56" customFormat="1">
      <c r="A48" s="217">
        <v>35</v>
      </c>
      <c r="B48" s="238"/>
      <c r="C48" s="224" t="s">
        <v>431</v>
      </c>
      <c r="D48" s="224" t="s">
        <v>433</v>
      </c>
      <c r="E48" s="219" t="s">
        <v>251</v>
      </c>
      <c r="F48" s="311">
        <v>20</v>
      </c>
      <c r="G48" s="240">
        <v>0.62</v>
      </c>
      <c r="H48" s="240">
        <v>10</v>
      </c>
      <c r="I48" s="694">
        <v>6.2</v>
      </c>
      <c r="J48" s="694">
        <v>4.8499999999999996</v>
      </c>
      <c r="K48" s="694">
        <v>0.92999999999999994</v>
      </c>
      <c r="L48" s="102">
        <f t="shared" si="6"/>
        <v>11.98</v>
      </c>
      <c r="M48" s="50">
        <f t="shared" si="1"/>
        <v>12.4</v>
      </c>
      <c r="N48" s="102">
        <f t="shared" si="7"/>
        <v>124</v>
      </c>
      <c r="O48" s="102">
        <f t="shared" si="8"/>
        <v>97</v>
      </c>
      <c r="P48" s="102">
        <f t="shared" si="9"/>
        <v>18.600000000000001</v>
      </c>
      <c r="Q48" s="103">
        <f t="shared" si="10"/>
        <v>239.6</v>
      </c>
    </row>
    <row r="49" spans="1:17" s="56" customFormat="1">
      <c r="A49" s="217">
        <v>36</v>
      </c>
      <c r="B49" s="238"/>
      <c r="C49" s="224" t="s">
        <v>434</v>
      </c>
      <c r="D49" s="732">
        <v>0.35</v>
      </c>
      <c r="E49" s="219" t="s">
        <v>435</v>
      </c>
      <c r="F49" s="311">
        <v>1500</v>
      </c>
      <c r="G49" s="240">
        <v>0.05</v>
      </c>
      <c r="H49" s="240">
        <v>10</v>
      </c>
      <c r="I49" s="694">
        <v>0.5</v>
      </c>
      <c r="J49" s="694">
        <v>1.44</v>
      </c>
      <c r="K49" s="694">
        <v>7.4999999999999997E-2</v>
      </c>
      <c r="L49" s="102">
        <f t="shared" si="6"/>
        <v>2.0150000000000001</v>
      </c>
      <c r="M49" s="50">
        <f t="shared" si="1"/>
        <v>75</v>
      </c>
      <c r="N49" s="102">
        <f t="shared" si="7"/>
        <v>750</v>
      </c>
      <c r="O49" s="102">
        <f t="shared" si="8"/>
        <v>2160</v>
      </c>
      <c r="P49" s="102">
        <f t="shared" si="9"/>
        <v>112.5</v>
      </c>
      <c r="Q49" s="103">
        <f t="shared" si="10"/>
        <v>3022.5</v>
      </c>
    </row>
    <row r="50" spans="1:17" s="56" customFormat="1">
      <c r="A50" s="217">
        <v>37</v>
      </c>
      <c r="B50" s="238"/>
      <c r="C50" s="224" t="s">
        <v>436</v>
      </c>
      <c r="D50" s="224" t="s">
        <v>437</v>
      </c>
      <c r="E50" s="219" t="s">
        <v>435</v>
      </c>
      <c r="F50" s="311">
        <v>8</v>
      </c>
      <c r="G50" s="240">
        <v>0.2</v>
      </c>
      <c r="H50" s="240">
        <v>10</v>
      </c>
      <c r="I50" s="694">
        <v>2</v>
      </c>
      <c r="J50" s="694">
        <v>6.72</v>
      </c>
      <c r="K50" s="694">
        <v>0.3</v>
      </c>
      <c r="L50" s="102">
        <f t="shared" si="6"/>
        <v>9.02</v>
      </c>
      <c r="M50" s="50">
        <f t="shared" si="1"/>
        <v>1.6</v>
      </c>
      <c r="N50" s="102">
        <f t="shared" si="7"/>
        <v>16</v>
      </c>
      <c r="O50" s="102">
        <f t="shared" si="8"/>
        <v>53.76</v>
      </c>
      <c r="P50" s="102">
        <f t="shared" si="9"/>
        <v>2.4</v>
      </c>
      <c r="Q50" s="103">
        <f t="shared" si="10"/>
        <v>72.16</v>
      </c>
    </row>
    <row r="51" spans="1:17" s="56" customFormat="1">
      <c r="A51" s="217">
        <v>38</v>
      </c>
      <c r="B51" s="238"/>
      <c r="C51" s="705" t="s">
        <v>438</v>
      </c>
      <c r="D51" s="729" t="s">
        <v>1667</v>
      </c>
      <c r="E51" s="219" t="s">
        <v>251</v>
      </c>
      <c r="F51" s="311">
        <v>35</v>
      </c>
      <c r="G51" s="698">
        <v>0.35</v>
      </c>
      <c r="H51" s="362">
        <v>10</v>
      </c>
      <c r="I51" s="363">
        <f t="shared" ref="I51" si="25">ROUND(G51*H51,2)</f>
        <v>3.5</v>
      </c>
      <c r="J51" s="363">
        <v>2.3199999999999998</v>
      </c>
      <c r="K51" s="377">
        <f t="shared" ref="K51" si="26">I51*0.15</f>
        <v>0.52500000000000002</v>
      </c>
      <c r="L51" s="102">
        <f t="shared" si="6"/>
        <v>6.3450000000000006</v>
      </c>
      <c r="M51" s="50">
        <f t="shared" si="1"/>
        <v>12.25</v>
      </c>
      <c r="N51" s="102">
        <f t="shared" si="7"/>
        <v>122.5</v>
      </c>
      <c r="O51" s="102">
        <f t="shared" si="8"/>
        <v>81.2</v>
      </c>
      <c r="P51" s="102">
        <f t="shared" si="9"/>
        <v>18.38</v>
      </c>
      <c r="Q51" s="103">
        <f t="shared" si="10"/>
        <v>222.07999999999998</v>
      </c>
    </row>
    <row r="52" spans="1:17" s="56" customFormat="1">
      <c r="A52" s="217">
        <v>39</v>
      </c>
      <c r="B52" s="238"/>
      <c r="C52" s="224" t="s">
        <v>438</v>
      </c>
      <c r="D52" s="224" t="s">
        <v>439</v>
      </c>
      <c r="E52" s="219" t="s">
        <v>251</v>
      </c>
      <c r="F52" s="311">
        <v>35</v>
      </c>
      <c r="G52" s="240">
        <v>0.35</v>
      </c>
      <c r="H52" s="240">
        <v>10</v>
      </c>
      <c r="I52" s="694">
        <v>3.5</v>
      </c>
      <c r="J52" s="694">
        <v>2.88</v>
      </c>
      <c r="K52" s="694">
        <v>0.52500000000000002</v>
      </c>
      <c r="L52" s="102">
        <f t="shared" si="6"/>
        <v>6.9050000000000002</v>
      </c>
      <c r="M52" s="50">
        <f t="shared" si="1"/>
        <v>12.25</v>
      </c>
      <c r="N52" s="102">
        <f t="shared" si="7"/>
        <v>122.5</v>
      </c>
      <c r="O52" s="102">
        <f t="shared" si="8"/>
        <v>100.8</v>
      </c>
      <c r="P52" s="102">
        <f t="shared" si="9"/>
        <v>18.38</v>
      </c>
      <c r="Q52" s="103">
        <f t="shared" si="10"/>
        <v>241.68</v>
      </c>
    </row>
    <row r="53" spans="1:17" s="56" customFormat="1">
      <c r="A53" s="217">
        <v>40</v>
      </c>
      <c r="B53" s="238"/>
      <c r="C53" s="224" t="s">
        <v>438</v>
      </c>
      <c r="D53" s="224" t="s">
        <v>440</v>
      </c>
      <c r="E53" s="219" t="s">
        <v>251</v>
      </c>
      <c r="F53" s="311">
        <v>6</v>
      </c>
      <c r="G53" s="240">
        <v>0.35</v>
      </c>
      <c r="H53" s="240">
        <v>10</v>
      </c>
      <c r="I53" s="694">
        <v>3.5</v>
      </c>
      <c r="J53" s="694">
        <v>3.65</v>
      </c>
      <c r="K53" s="694">
        <v>0.52500000000000002</v>
      </c>
      <c r="L53" s="102">
        <f t="shared" si="6"/>
        <v>7.6750000000000007</v>
      </c>
      <c r="M53" s="50">
        <f t="shared" si="1"/>
        <v>2.1</v>
      </c>
      <c r="N53" s="102">
        <f t="shared" si="7"/>
        <v>21</v>
      </c>
      <c r="O53" s="102">
        <f t="shared" si="8"/>
        <v>21.9</v>
      </c>
      <c r="P53" s="102">
        <f t="shared" si="9"/>
        <v>3.15</v>
      </c>
      <c r="Q53" s="103">
        <f t="shared" si="10"/>
        <v>46.05</v>
      </c>
    </row>
    <row r="54" spans="1:17" s="56" customFormat="1">
      <c r="A54" s="217">
        <v>41</v>
      </c>
      <c r="B54" s="238"/>
      <c r="C54" s="224" t="s">
        <v>438</v>
      </c>
      <c r="D54" s="224" t="s">
        <v>441</v>
      </c>
      <c r="E54" s="219" t="s">
        <v>251</v>
      </c>
      <c r="F54" s="311">
        <v>11</v>
      </c>
      <c r="G54" s="240">
        <v>0.35</v>
      </c>
      <c r="H54" s="240">
        <v>10</v>
      </c>
      <c r="I54" s="694">
        <v>3.5</v>
      </c>
      <c r="J54" s="694">
        <v>5.4</v>
      </c>
      <c r="K54" s="694">
        <v>0.52500000000000002</v>
      </c>
      <c r="L54" s="102">
        <f t="shared" si="6"/>
        <v>9.4250000000000007</v>
      </c>
      <c r="M54" s="50">
        <f t="shared" si="1"/>
        <v>3.85</v>
      </c>
      <c r="N54" s="102">
        <f t="shared" si="7"/>
        <v>38.5</v>
      </c>
      <c r="O54" s="102">
        <f t="shared" si="8"/>
        <v>59.4</v>
      </c>
      <c r="P54" s="102">
        <f t="shared" si="9"/>
        <v>5.78</v>
      </c>
      <c r="Q54" s="103">
        <f t="shared" si="10"/>
        <v>103.68</v>
      </c>
    </row>
    <row r="55" spans="1:17" s="56" customFormat="1">
      <c r="A55" s="217">
        <v>42</v>
      </c>
      <c r="B55" s="238"/>
      <c r="C55" s="224" t="s">
        <v>438</v>
      </c>
      <c r="D55" s="224" t="s">
        <v>442</v>
      </c>
      <c r="E55" s="219" t="s">
        <v>251</v>
      </c>
      <c r="F55" s="311">
        <v>11</v>
      </c>
      <c r="G55" s="240">
        <v>0.35</v>
      </c>
      <c r="H55" s="240">
        <v>10</v>
      </c>
      <c r="I55" s="694">
        <v>3.5</v>
      </c>
      <c r="J55" s="694">
        <v>7.79</v>
      </c>
      <c r="K55" s="694">
        <v>0.52500000000000002</v>
      </c>
      <c r="L55" s="102">
        <f t="shared" si="6"/>
        <v>11.815</v>
      </c>
      <c r="M55" s="50">
        <f t="shared" si="1"/>
        <v>3.85</v>
      </c>
      <c r="N55" s="102">
        <f t="shared" si="7"/>
        <v>38.5</v>
      </c>
      <c r="O55" s="102">
        <f t="shared" si="8"/>
        <v>85.69</v>
      </c>
      <c r="P55" s="102">
        <f t="shared" si="9"/>
        <v>5.78</v>
      </c>
      <c r="Q55" s="103">
        <f t="shared" si="10"/>
        <v>129.97</v>
      </c>
    </row>
    <row r="56" spans="1:17" s="56" customFormat="1">
      <c r="A56" s="217">
        <v>43</v>
      </c>
      <c r="B56" s="238"/>
      <c r="C56" s="224" t="s">
        <v>443</v>
      </c>
      <c r="D56" s="224" t="s">
        <v>444</v>
      </c>
      <c r="E56" s="219" t="s">
        <v>29</v>
      </c>
      <c r="F56" s="311">
        <v>30</v>
      </c>
      <c r="G56" s="240">
        <v>0.35</v>
      </c>
      <c r="H56" s="240">
        <v>10</v>
      </c>
      <c r="I56" s="694">
        <v>3.5</v>
      </c>
      <c r="J56" s="694">
        <v>12.29</v>
      </c>
      <c r="K56" s="694">
        <v>0.52500000000000002</v>
      </c>
      <c r="L56" s="102">
        <f t="shared" si="6"/>
        <v>16.314999999999998</v>
      </c>
      <c r="M56" s="50">
        <f t="shared" si="1"/>
        <v>10.5</v>
      </c>
      <c r="N56" s="102">
        <f t="shared" si="7"/>
        <v>105</v>
      </c>
      <c r="O56" s="102">
        <f t="shared" si="8"/>
        <v>368.7</v>
      </c>
      <c r="P56" s="102">
        <f t="shared" si="9"/>
        <v>15.75</v>
      </c>
      <c r="Q56" s="103">
        <f t="shared" si="10"/>
        <v>489.45</v>
      </c>
    </row>
    <row r="57" spans="1:17" s="56" customFormat="1" ht="24.9">
      <c r="A57" s="217">
        <v>44</v>
      </c>
      <c r="B57" s="238"/>
      <c r="C57" s="224" t="s">
        <v>445</v>
      </c>
      <c r="D57" s="224" t="s">
        <v>446</v>
      </c>
      <c r="E57" s="219" t="s">
        <v>29</v>
      </c>
      <c r="F57" s="311">
        <v>25</v>
      </c>
      <c r="G57" s="240">
        <v>0.45</v>
      </c>
      <c r="H57" s="240">
        <v>10</v>
      </c>
      <c r="I57" s="694">
        <v>4.5</v>
      </c>
      <c r="J57" s="694">
        <v>5.8</v>
      </c>
      <c r="K57" s="694">
        <v>0.67499999999999993</v>
      </c>
      <c r="L57" s="102">
        <f t="shared" si="6"/>
        <v>10.975000000000001</v>
      </c>
      <c r="M57" s="50">
        <f t="shared" si="1"/>
        <v>11.25</v>
      </c>
      <c r="N57" s="102">
        <f t="shared" si="7"/>
        <v>112.5</v>
      </c>
      <c r="O57" s="102">
        <f t="shared" si="8"/>
        <v>145</v>
      </c>
      <c r="P57" s="102">
        <f t="shared" si="9"/>
        <v>16.88</v>
      </c>
      <c r="Q57" s="103">
        <f t="shared" si="10"/>
        <v>274.38</v>
      </c>
    </row>
    <row r="58" spans="1:17" s="56" customFormat="1">
      <c r="A58" s="217">
        <v>45</v>
      </c>
      <c r="B58" s="238"/>
      <c r="C58" s="224" t="s">
        <v>447</v>
      </c>
      <c r="D58" s="224"/>
      <c r="E58" s="219" t="s">
        <v>136</v>
      </c>
      <c r="F58" s="311">
        <v>1</v>
      </c>
      <c r="G58" s="240">
        <v>9.8000000000000007</v>
      </c>
      <c r="H58" s="240">
        <v>10</v>
      </c>
      <c r="I58" s="694">
        <v>98</v>
      </c>
      <c r="J58" s="694">
        <v>315</v>
      </c>
      <c r="K58" s="694">
        <v>14.7</v>
      </c>
      <c r="L58" s="102">
        <f t="shared" si="6"/>
        <v>427.7</v>
      </c>
      <c r="M58" s="50">
        <f t="shared" si="1"/>
        <v>9.8000000000000007</v>
      </c>
      <c r="N58" s="102">
        <f t="shared" si="7"/>
        <v>98</v>
      </c>
      <c r="O58" s="102">
        <f t="shared" si="8"/>
        <v>315</v>
      </c>
      <c r="P58" s="102">
        <f t="shared" si="9"/>
        <v>14.7</v>
      </c>
      <c r="Q58" s="103">
        <f t="shared" si="10"/>
        <v>427.7</v>
      </c>
    </row>
    <row r="59" spans="1:17" s="56" customFormat="1">
      <c r="A59" s="217">
        <v>46</v>
      </c>
      <c r="B59" s="238"/>
      <c r="C59" s="224" t="s">
        <v>448</v>
      </c>
      <c r="D59" s="224"/>
      <c r="E59" s="219" t="s">
        <v>136</v>
      </c>
      <c r="F59" s="311">
        <v>1</v>
      </c>
      <c r="G59" s="240">
        <v>0.5</v>
      </c>
      <c r="H59" s="240">
        <v>10</v>
      </c>
      <c r="I59" s="694">
        <v>5</v>
      </c>
      <c r="J59" s="694">
        <v>108</v>
      </c>
      <c r="K59" s="694">
        <v>5.4</v>
      </c>
      <c r="L59" s="102">
        <f t="shared" si="6"/>
        <v>118.4</v>
      </c>
      <c r="M59" s="50">
        <f t="shared" si="1"/>
        <v>0.5</v>
      </c>
      <c r="N59" s="102">
        <f t="shared" si="7"/>
        <v>5</v>
      </c>
      <c r="O59" s="102">
        <f t="shared" si="8"/>
        <v>108</v>
      </c>
      <c r="P59" s="102">
        <f t="shared" si="9"/>
        <v>5.4</v>
      </c>
      <c r="Q59" s="103">
        <f t="shared" si="10"/>
        <v>118.4</v>
      </c>
    </row>
    <row r="60" spans="1:17" s="56" customFormat="1">
      <c r="A60" s="217">
        <v>47</v>
      </c>
      <c r="B60" s="238"/>
      <c r="C60" s="224" t="s">
        <v>304</v>
      </c>
      <c r="D60" s="224"/>
      <c r="E60" s="219" t="s">
        <v>136</v>
      </c>
      <c r="F60" s="311">
        <v>1</v>
      </c>
      <c r="G60" s="240">
        <v>15</v>
      </c>
      <c r="H60" s="240">
        <v>10</v>
      </c>
      <c r="I60" s="694">
        <v>150</v>
      </c>
      <c r="J60" s="694">
        <v>185</v>
      </c>
      <c r="K60" s="694">
        <v>22.5</v>
      </c>
      <c r="L60" s="102">
        <f t="shared" si="6"/>
        <v>357.5</v>
      </c>
      <c r="M60" s="50">
        <f t="shared" si="1"/>
        <v>15</v>
      </c>
      <c r="N60" s="102">
        <f t="shared" si="7"/>
        <v>150</v>
      </c>
      <c r="O60" s="102">
        <f t="shared" si="8"/>
        <v>185</v>
      </c>
      <c r="P60" s="102">
        <f t="shared" si="9"/>
        <v>22.5</v>
      </c>
      <c r="Q60" s="103">
        <f t="shared" si="10"/>
        <v>357.5</v>
      </c>
    </row>
    <row r="61" spans="1:17" s="56" customFormat="1">
      <c r="A61" s="217">
        <v>48</v>
      </c>
      <c r="B61" s="238"/>
      <c r="C61" s="224" t="s">
        <v>305</v>
      </c>
      <c r="D61" s="224"/>
      <c r="E61" s="219" t="s">
        <v>136</v>
      </c>
      <c r="F61" s="311">
        <v>1</v>
      </c>
      <c r="G61" s="240">
        <v>3</v>
      </c>
      <c r="H61" s="240">
        <v>10</v>
      </c>
      <c r="I61" s="694">
        <v>30</v>
      </c>
      <c r="J61" s="694">
        <v>110</v>
      </c>
      <c r="K61" s="694">
        <v>4.5</v>
      </c>
      <c r="L61" s="102">
        <f t="shared" si="6"/>
        <v>144.5</v>
      </c>
      <c r="M61" s="50">
        <f t="shared" si="1"/>
        <v>3</v>
      </c>
      <c r="N61" s="102">
        <f t="shared" si="7"/>
        <v>30</v>
      </c>
      <c r="O61" s="102">
        <f t="shared" si="8"/>
        <v>110</v>
      </c>
      <c r="P61" s="102">
        <f t="shared" si="9"/>
        <v>4.5</v>
      </c>
      <c r="Q61" s="103">
        <f t="shared" si="10"/>
        <v>144.5</v>
      </c>
    </row>
    <row r="62" spans="1:17" s="56" customFormat="1">
      <c r="A62" s="217">
        <v>49</v>
      </c>
      <c r="B62" s="238"/>
      <c r="C62" s="224" t="s">
        <v>306</v>
      </c>
      <c r="D62" s="224"/>
      <c r="E62" s="219" t="s">
        <v>136</v>
      </c>
      <c r="F62" s="311">
        <v>1</v>
      </c>
      <c r="G62" s="240">
        <v>31</v>
      </c>
      <c r="H62" s="240">
        <v>10</v>
      </c>
      <c r="I62" s="694">
        <v>310</v>
      </c>
      <c r="J62" s="694">
        <v>150</v>
      </c>
      <c r="K62" s="694">
        <v>7.5</v>
      </c>
      <c r="L62" s="102">
        <f t="shared" si="6"/>
        <v>467.5</v>
      </c>
      <c r="M62" s="50">
        <f t="shared" si="1"/>
        <v>31</v>
      </c>
      <c r="N62" s="102">
        <f t="shared" si="7"/>
        <v>310</v>
      </c>
      <c r="O62" s="102">
        <f t="shared" si="8"/>
        <v>150</v>
      </c>
      <c r="P62" s="102">
        <f t="shared" si="9"/>
        <v>7.5</v>
      </c>
      <c r="Q62" s="103">
        <f t="shared" si="10"/>
        <v>467.5</v>
      </c>
    </row>
    <row r="63" spans="1:17" s="56" customFormat="1" ht="24.9">
      <c r="A63" s="217">
        <v>50</v>
      </c>
      <c r="B63" s="238"/>
      <c r="C63" s="224" t="s">
        <v>307</v>
      </c>
      <c r="D63" s="224" t="s">
        <v>308</v>
      </c>
      <c r="E63" s="219" t="s">
        <v>136</v>
      </c>
      <c r="F63" s="311">
        <v>1</v>
      </c>
      <c r="G63" s="240">
        <v>0.8</v>
      </c>
      <c r="H63" s="240">
        <v>10</v>
      </c>
      <c r="I63" s="694">
        <v>8</v>
      </c>
      <c r="J63" s="694">
        <v>12</v>
      </c>
      <c r="K63" s="694">
        <v>1.2</v>
      </c>
      <c r="L63" s="102">
        <f t="shared" si="6"/>
        <v>21.2</v>
      </c>
      <c r="M63" s="50">
        <f t="shared" si="1"/>
        <v>0.8</v>
      </c>
      <c r="N63" s="102">
        <f t="shared" si="7"/>
        <v>8</v>
      </c>
      <c r="O63" s="102">
        <f t="shared" si="8"/>
        <v>12</v>
      </c>
      <c r="P63" s="102">
        <f t="shared" si="9"/>
        <v>1.2</v>
      </c>
      <c r="Q63" s="103">
        <f t="shared" si="10"/>
        <v>21.2</v>
      </c>
    </row>
    <row r="64" spans="1:17" s="56" customFormat="1" ht="24.9">
      <c r="A64" s="217">
        <v>51</v>
      </c>
      <c r="B64" s="238"/>
      <c r="C64" s="224" t="s">
        <v>309</v>
      </c>
      <c r="D64" s="224"/>
      <c r="E64" s="219" t="s">
        <v>136</v>
      </c>
      <c r="F64" s="311">
        <v>1</v>
      </c>
      <c r="G64" s="240">
        <v>20</v>
      </c>
      <c r="H64" s="240">
        <v>10</v>
      </c>
      <c r="I64" s="694">
        <v>200</v>
      </c>
      <c r="J64" s="694"/>
      <c r="K64" s="694">
        <v>40</v>
      </c>
      <c r="L64" s="102">
        <f t="shared" si="6"/>
        <v>240</v>
      </c>
      <c r="M64" s="50">
        <f t="shared" si="1"/>
        <v>20</v>
      </c>
      <c r="N64" s="102">
        <f t="shared" si="7"/>
        <v>200</v>
      </c>
      <c r="O64" s="102">
        <f t="shared" si="8"/>
        <v>0</v>
      </c>
      <c r="P64" s="102">
        <f t="shared" si="9"/>
        <v>40</v>
      </c>
      <c r="Q64" s="103">
        <f t="shared" si="10"/>
        <v>240</v>
      </c>
    </row>
    <row r="65" spans="1:17" s="56" customFormat="1">
      <c r="A65" s="217"/>
      <c r="B65" s="238"/>
      <c r="C65" s="218" t="s">
        <v>449</v>
      </c>
      <c r="D65" s="224"/>
      <c r="E65" s="219"/>
      <c r="F65" s="311"/>
      <c r="G65" s="240"/>
      <c r="H65" s="240"/>
      <c r="I65" s="694"/>
      <c r="J65" s="694"/>
      <c r="K65" s="694"/>
      <c r="L65" s="102">
        <f t="shared" si="6"/>
        <v>0</v>
      </c>
      <c r="M65" s="50">
        <f t="shared" si="1"/>
        <v>0</v>
      </c>
      <c r="N65" s="102">
        <f t="shared" si="7"/>
        <v>0</v>
      </c>
      <c r="O65" s="102">
        <f t="shared" si="8"/>
        <v>0</v>
      </c>
      <c r="P65" s="102">
        <f t="shared" si="9"/>
        <v>0</v>
      </c>
      <c r="Q65" s="103">
        <f t="shared" si="10"/>
        <v>0</v>
      </c>
    </row>
    <row r="66" spans="1:17" s="56" customFormat="1" ht="87.05">
      <c r="A66" s="217">
        <v>52</v>
      </c>
      <c r="B66" s="238"/>
      <c r="C66" s="224" t="s">
        <v>450</v>
      </c>
      <c r="D66" s="224" t="s">
        <v>451</v>
      </c>
      <c r="E66" s="219" t="s">
        <v>136</v>
      </c>
      <c r="F66" s="311">
        <v>1</v>
      </c>
      <c r="G66" s="240">
        <v>110</v>
      </c>
      <c r="H66" s="240">
        <v>9.6999999999999993</v>
      </c>
      <c r="I66" s="694">
        <v>1067</v>
      </c>
      <c r="J66" s="379">
        <v>15442.82</v>
      </c>
      <c r="K66" s="694">
        <v>160.04999999999998</v>
      </c>
      <c r="L66" s="102">
        <f t="shared" ref="L66:L77" si="27">SUM(I66:K66)</f>
        <v>16669.87</v>
      </c>
      <c r="M66" s="50">
        <f t="shared" si="1"/>
        <v>110</v>
      </c>
      <c r="N66" s="102">
        <f t="shared" ref="N66:N77" si="28">ROUND(I66*F66,2)</f>
        <v>1067</v>
      </c>
      <c r="O66" s="102">
        <f t="shared" ref="O66:O77" si="29">ROUND(J66*F66,2)</f>
        <v>15442.82</v>
      </c>
      <c r="P66" s="102">
        <f t="shared" ref="P66:P77" si="30">ROUND(K66*F66,2)</f>
        <v>160.05000000000001</v>
      </c>
      <c r="Q66" s="103">
        <f t="shared" ref="Q66:Q77" si="31">SUM(N66:P66)</f>
        <v>16669.87</v>
      </c>
    </row>
    <row r="67" spans="1:17" s="56" customFormat="1" ht="37.35">
      <c r="A67" s="217">
        <v>53</v>
      </c>
      <c r="B67" s="238"/>
      <c r="C67" s="224" t="s">
        <v>452</v>
      </c>
      <c r="D67" s="224"/>
      <c r="E67" s="219" t="s">
        <v>136</v>
      </c>
      <c r="F67" s="311">
        <v>1</v>
      </c>
      <c r="G67" s="240">
        <v>9</v>
      </c>
      <c r="H67" s="240">
        <v>9.6999999999999993</v>
      </c>
      <c r="I67" s="694">
        <v>87.3</v>
      </c>
      <c r="J67" s="379">
        <v>1088.56</v>
      </c>
      <c r="K67" s="694">
        <v>13.094999999999999</v>
      </c>
      <c r="L67" s="102">
        <f t="shared" si="27"/>
        <v>1188.9549999999999</v>
      </c>
      <c r="M67" s="50">
        <f t="shared" si="1"/>
        <v>9</v>
      </c>
      <c r="N67" s="102">
        <f t="shared" si="28"/>
        <v>87.3</v>
      </c>
      <c r="O67" s="102">
        <f t="shared" si="29"/>
        <v>1088.56</v>
      </c>
      <c r="P67" s="102">
        <f t="shared" si="30"/>
        <v>13.1</v>
      </c>
      <c r="Q67" s="103">
        <f t="shared" si="31"/>
        <v>1188.9599999999998</v>
      </c>
    </row>
    <row r="68" spans="1:17" s="56" customFormat="1" ht="24.9">
      <c r="A68" s="217">
        <v>54</v>
      </c>
      <c r="B68" s="238"/>
      <c r="C68" s="224" t="s">
        <v>453</v>
      </c>
      <c r="D68" s="224"/>
      <c r="E68" s="219" t="s">
        <v>136</v>
      </c>
      <c r="F68" s="311">
        <v>1</v>
      </c>
      <c r="G68" s="240">
        <v>4</v>
      </c>
      <c r="H68" s="240">
        <v>9.6999999999999993</v>
      </c>
      <c r="I68" s="694">
        <v>38.799999999999997</v>
      </c>
      <c r="J68" s="379">
        <v>1088.56</v>
      </c>
      <c r="K68" s="694">
        <v>5.8199999999999994</v>
      </c>
      <c r="L68" s="102">
        <f t="shared" si="27"/>
        <v>1133.1799999999998</v>
      </c>
      <c r="M68" s="50">
        <f t="shared" si="1"/>
        <v>4</v>
      </c>
      <c r="N68" s="102">
        <f t="shared" si="28"/>
        <v>38.799999999999997</v>
      </c>
      <c r="O68" s="102">
        <f t="shared" si="29"/>
        <v>1088.56</v>
      </c>
      <c r="P68" s="102">
        <f t="shared" si="30"/>
        <v>5.82</v>
      </c>
      <c r="Q68" s="103">
        <f t="shared" si="31"/>
        <v>1133.1799999999998</v>
      </c>
    </row>
    <row r="69" spans="1:17" s="56" customFormat="1" ht="24.9">
      <c r="A69" s="217">
        <v>55</v>
      </c>
      <c r="B69" s="238"/>
      <c r="C69" s="224" t="s">
        <v>454</v>
      </c>
      <c r="D69" s="224"/>
      <c r="E69" s="219" t="s">
        <v>111</v>
      </c>
      <c r="F69" s="311">
        <v>700</v>
      </c>
      <c r="G69" s="240">
        <v>0.9</v>
      </c>
      <c r="H69" s="240">
        <v>10</v>
      </c>
      <c r="I69" s="694">
        <v>9</v>
      </c>
      <c r="J69" s="379">
        <v>17.79</v>
      </c>
      <c r="K69" s="694">
        <v>1.3499999999999999</v>
      </c>
      <c r="L69" s="102">
        <f t="shared" si="27"/>
        <v>28.14</v>
      </c>
      <c r="M69" s="50">
        <f t="shared" si="1"/>
        <v>630</v>
      </c>
      <c r="N69" s="102">
        <f t="shared" si="28"/>
        <v>6300</v>
      </c>
      <c r="O69" s="102">
        <f t="shared" si="29"/>
        <v>12453</v>
      </c>
      <c r="P69" s="102">
        <f t="shared" si="30"/>
        <v>945</v>
      </c>
      <c r="Q69" s="103">
        <f t="shared" si="31"/>
        <v>19698</v>
      </c>
    </row>
    <row r="70" spans="1:17" s="56" customFormat="1" ht="24.9">
      <c r="A70" s="217">
        <v>56</v>
      </c>
      <c r="B70" s="238"/>
      <c r="C70" s="224" t="s">
        <v>455</v>
      </c>
      <c r="D70" s="224"/>
      <c r="E70" s="219" t="s">
        <v>136</v>
      </c>
      <c r="F70" s="311">
        <v>24</v>
      </c>
      <c r="G70" s="240">
        <v>4</v>
      </c>
      <c r="H70" s="240">
        <v>9.6999999999999993</v>
      </c>
      <c r="I70" s="694">
        <v>38.799999999999997</v>
      </c>
      <c r="J70" s="379">
        <v>150</v>
      </c>
      <c r="K70" s="694">
        <v>5.8199999999999994</v>
      </c>
      <c r="L70" s="102">
        <f t="shared" si="27"/>
        <v>194.62</v>
      </c>
      <c r="M70" s="50">
        <f t="shared" si="1"/>
        <v>96</v>
      </c>
      <c r="N70" s="102">
        <f t="shared" si="28"/>
        <v>931.2</v>
      </c>
      <c r="O70" s="102">
        <f t="shared" si="29"/>
        <v>3600</v>
      </c>
      <c r="P70" s="102">
        <f t="shared" si="30"/>
        <v>139.68</v>
      </c>
      <c r="Q70" s="103">
        <f t="shared" si="31"/>
        <v>4670.88</v>
      </c>
    </row>
    <row r="71" spans="1:17" s="56" customFormat="1">
      <c r="A71" s="217">
        <v>57</v>
      </c>
      <c r="B71" s="238"/>
      <c r="C71" s="224" t="s">
        <v>456</v>
      </c>
      <c r="D71" s="224"/>
      <c r="E71" s="219" t="s">
        <v>136</v>
      </c>
      <c r="F71" s="311">
        <v>1</v>
      </c>
      <c r="G71" s="240">
        <v>1</v>
      </c>
      <c r="H71" s="240">
        <v>10</v>
      </c>
      <c r="I71" s="694">
        <v>10</v>
      </c>
      <c r="J71" s="694">
        <v>1650</v>
      </c>
      <c r="K71" s="694">
        <v>1.5</v>
      </c>
      <c r="L71" s="102">
        <f t="shared" si="27"/>
        <v>1661.5</v>
      </c>
      <c r="M71" s="50">
        <f t="shared" si="1"/>
        <v>1</v>
      </c>
      <c r="N71" s="102">
        <f t="shared" si="28"/>
        <v>10</v>
      </c>
      <c r="O71" s="102">
        <f t="shared" si="29"/>
        <v>1650</v>
      </c>
      <c r="P71" s="102">
        <f t="shared" si="30"/>
        <v>1.5</v>
      </c>
      <c r="Q71" s="103">
        <f t="shared" si="31"/>
        <v>1661.5</v>
      </c>
    </row>
    <row r="72" spans="1:17" s="56" customFormat="1">
      <c r="A72" s="217">
        <v>58</v>
      </c>
      <c r="B72" s="238"/>
      <c r="C72" s="224" t="s">
        <v>457</v>
      </c>
      <c r="D72" s="224"/>
      <c r="E72" s="219" t="s">
        <v>136</v>
      </c>
      <c r="F72" s="311">
        <v>1</v>
      </c>
      <c r="G72" s="240">
        <v>1</v>
      </c>
      <c r="H72" s="240">
        <v>10</v>
      </c>
      <c r="I72" s="694">
        <v>10</v>
      </c>
      <c r="J72" s="694">
        <v>2530</v>
      </c>
      <c r="K72" s="694">
        <v>1.5</v>
      </c>
      <c r="L72" s="102">
        <f t="shared" si="27"/>
        <v>2541.5</v>
      </c>
      <c r="M72" s="50">
        <f t="shared" si="1"/>
        <v>1</v>
      </c>
      <c r="N72" s="102">
        <f t="shared" si="28"/>
        <v>10</v>
      </c>
      <c r="O72" s="102">
        <f t="shared" si="29"/>
        <v>2530</v>
      </c>
      <c r="P72" s="102">
        <f t="shared" si="30"/>
        <v>1.5</v>
      </c>
      <c r="Q72" s="103">
        <f t="shared" si="31"/>
        <v>2541.5</v>
      </c>
    </row>
    <row r="73" spans="1:17" s="56" customFormat="1">
      <c r="A73" s="217">
        <v>59</v>
      </c>
      <c r="B73" s="238"/>
      <c r="C73" s="224" t="s">
        <v>304</v>
      </c>
      <c r="D73" s="224"/>
      <c r="E73" s="219" t="s">
        <v>136</v>
      </c>
      <c r="F73" s="311">
        <v>1</v>
      </c>
      <c r="G73" s="240">
        <v>15</v>
      </c>
      <c r="H73" s="240">
        <v>10</v>
      </c>
      <c r="I73" s="694">
        <v>150</v>
      </c>
      <c r="J73" s="694">
        <v>185</v>
      </c>
      <c r="K73" s="694">
        <v>22.5</v>
      </c>
      <c r="L73" s="102">
        <f t="shared" si="27"/>
        <v>357.5</v>
      </c>
      <c r="M73" s="50">
        <f t="shared" si="1"/>
        <v>15</v>
      </c>
      <c r="N73" s="102">
        <f t="shared" si="28"/>
        <v>150</v>
      </c>
      <c r="O73" s="102">
        <f t="shared" si="29"/>
        <v>185</v>
      </c>
      <c r="P73" s="102">
        <f t="shared" si="30"/>
        <v>22.5</v>
      </c>
      <c r="Q73" s="103">
        <f t="shared" si="31"/>
        <v>357.5</v>
      </c>
    </row>
    <row r="74" spans="1:17" s="56" customFormat="1" ht="24.9">
      <c r="A74" s="217">
        <v>60</v>
      </c>
      <c r="B74" s="238"/>
      <c r="C74" s="731" t="s">
        <v>1668</v>
      </c>
      <c r="D74" s="723"/>
      <c r="E74" s="707" t="s">
        <v>251</v>
      </c>
      <c r="F74" s="708">
        <v>700</v>
      </c>
      <c r="G74" s="258">
        <v>0.1</v>
      </c>
      <c r="H74" s="435">
        <v>10</v>
      </c>
      <c r="I74" s="258">
        <f t="shared" ref="I74" si="32">ROUND(G74*H74,2)</f>
        <v>1</v>
      </c>
      <c r="J74" s="258">
        <v>1.72</v>
      </c>
      <c r="K74" s="733">
        <f t="shared" ref="K74" si="33">I74*0.15</f>
        <v>0.15</v>
      </c>
      <c r="L74" s="102">
        <f t="shared" si="27"/>
        <v>2.8699999999999997</v>
      </c>
      <c r="M74" s="50">
        <f t="shared" si="1"/>
        <v>70</v>
      </c>
      <c r="N74" s="102">
        <f t="shared" si="28"/>
        <v>700</v>
      </c>
      <c r="O74" s="102">
        <f t="shared" si="29"/>
        <v>1204</v>
      </c>
      <c r="P74" s="102">
        <f t="shared" si="30"/>
        <v>105</v>
      </c>
      <c r="Q74" s="103">
        <f t="shared" si="31"/>
        <v>2009</v>
      </c>
    </row>
    <row r="75" spans="1:17" s="56" customFormat="1">
      <c r="A75" s="217">
        <v>61</v>
      </c>
      <c r="B75" s="238"/>
      <c r="C75" s="224" t="s">
        <v>306</v>
      </c>
      <c r="D75" s="224"/>
      <c r="E75" s="219" t="s">
        <v>136</v>
      </c>
      <c r="F75" s="311">
        <v>1</v>
      </c>
      <c r="G75" s="240">
        <v>31</v>
      </c>
      <c r="H75" s="240">
        <v>10</v>
      </c>
      <c r="I75" s="694">
        <v>310</v>
      </c>
      <c r="J75" s="694">
        <v>150</v>
      </c>
      <c r="K75" s="694">
        <v>7.5</v>
      </c>
      <c r="L75" s="102">
        <f t="shared" si="27"/>
        <v>467.5</v>
      </c>
      <c r="M75" s="50">
        <f t="shared" si="1"/>
        <v>31</v>
      </c>
      <c r="N75" s="102">
        <f t="shared" si="28"/>
        <v>310</v>
      </c>
      <c r="O75" s="102">
        <f t="shared" si="29"/>
        <v>150</v>
      </c>
      <c r="P75" s="102">
        <f t="shared" si="30"/>
        <v>7.5</v>
      </c>
      <c r="Q75" s="103">
        <f t="shared" si="31"/>
        <v>467.5</v>
      </c>
    </row>
    <row r="76" spans="1:17" s="56" customFormat="1" ht="24.9">
      <c r="A76" s="217">
        <v>62</v>
      </c>
      <c r="B76" s="238"/>
      <c r="C76" s="224" t="s">
        <v>307</v>
      </c>
      <c r="D76" s="224" t="s">
        <v>308</v>
      </c>
      <c r="E76" s="219" t="s">
        <v>136</v>
      </c>
      <c r="F76" s="311">
        <v>1</v>
      </c>
      <c r="G76" s="240">
        <v>0.8</v>
      </c>
      <c r="H76" s="240">
        <v>10</v>
      </c>
      <c r="I76" s="694">
        <v>8</v>
      </c>
      <c r="J76" s="694">
        <v>12</v>
      </c>
      <c r="K76" s="694">
        <v>1.2</v>
      </c>
      <c r="L76" s="102">
        <f t="shared" si="27"/>
        <v>21.2</v>
      </c>
      <c r="M76" s="50">
        <f t="shared" si="1"/>
        <v>0.8</v>
      </c>
      <c r="N76" s="102">
        <f t="shared" si="28"/>
        <v>8</v>
      </c>
      <c r="O76" s="102">
        <f t="shared" si="29"/>
        <v>12</v>
      </c>
      <c r="P76" s="102">
        <f t="shared" si="30"/>
        <v>1.2</v>
      </c>
      <c r="Q76" s="103">
        <f t="shared" si="31"/>
        <v>21.2</v>
      </c>
    </row>
    <row r="77" spans="1:17" s="56" customFormat="1">
      <c r="A77" s="217">
        <v>63</v>
      </c>
      <c r="B77" s="238"/>
      <c r="C77" s="224" t="s">
        <v>458</v>
      </c>
      <c r="D77" s="224"/>
      <c r="E77" s="219" t="s">
        <v>136</v>
      </c>
      <c r="F77" s="311">
        <v>1</v>
      </c>
      <c r="G77" s="240">
        <v>20</v>
      </c>
      <c r="H77" s="240">
        <v>10</v>
      </c>
      <c r="I77" s="694">
        <v>200</v>
      </c>
      <c r="J77" s="694"/>
      <c r="K77" s="694">
        <v>40</v>
      </c>
      <c r="L77" s="102">
        <f t="shared" si="27"/>
        <v>240</v>
      </c>
      <c r="M77" s="50">
        <f t="shared" si="1"/>
        <v>20</v>
      </c>
      <c r="N77" s="102">
        <f t="shared" si="28"/>
        <v>200</v>
      </c>
      <c r="O77" s="102">
        <f t="shared" si="29"/>
        <v>0</v>
      </c>
      <c r="P77" s="102">
        <f t="shared" si="30"/>
        <v>40</v>
      </c>
      <c r="Q77" s="103">
        <f t="shared" si="31"/>
        <v>240</v>
      </c>
    </row>
    <row r="78" spans="1:17">
      <c r="A78" s="225"/>
      <c r="B78" s="226"/>
      <c r="C78" s="227"/>
      <c r="D78" s="227"/>
      <c r="E78" s="228"/>
      <c r="F78" s="229"/>
      <c r="G78" s="230">
        <v>0</v>
      </c>
      <c r="H78" s="230">
        <v>0</v>
      </c>
      <c r="I78" s="230"/>
      <c r="J78" s="229"/>
      <c r="K78" s="229"/>
      <c r="L78" s="229"/>
      <c r="M78" s="229"/>
      <c r="N78" s="229"/>
      <c r="O78" s="229"/>
      <c r="P78" s="229"/>
      <c r="Q78" s="243"/>
    </row>
    <row r="79" spans="1:17" ht="15.05" customHeight="1">
      <c r="A79" s="206"/>
      <c r="B79" s="207"/>
      <c r="C79" s="951" t="s">
        <v>99</v>
      </c>
      <c r="D79" s="951"/>
      <c r="E79" s="952"/>
      <c r="F79" s="952"/>
      <c r="G79" s="952"/>
      <c r="H79" s="952"/>
      <c r="I79" s="952"/>
      <c r="J79" s="952"/>
      <c r="K79" s="952"/>
      <c r="L79" s="952"/>
      <c r="M79" s="208">
        <f>SUM(M13:M78)</f>
        <v>1678.23</v>
      </c>
      <c r="N79" s="208">
        <f>SUM(N13:N78)</f>
        <v>16670.2</v>
      </c>
      <c r="O79" s="208">
        <f>SUM(O13:O78)</f>
        <v>142342.38999999996</v>
      </c>
      <c r="P79" s="208">
        <f>SUM(P13:P78)</f>
        <v>2453.6199999999994</v>
      </c>
      <c r="Q79" s="208">
        <f>SUM(Q13:Q78)</f>
        <v>161466.20999999996</v>
      </c>
    </row>
    <row r="80" spans="1:17" s="125" customFormat="1">
      <c r="J80" s="146"/>
    </row>
    <row r="81" spans="1:17" s="122" customFormat="1" ht="12.8" customHeight="1">
      <c r="B81" s="147" t="s">
        <v>54</v>
      </c>
    </row>
    <row r="82" spans="1:17" s="122" customFormat="1" ht="45" customHeight="1">
      <c r="A82"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82" s="926"/>
      <c r="C82" s="926"/>
      <c r="D82" s="926"/>
      <c r="E82" s="926"/>
      <c r="F82" s="926"/>
      <c r="G82" s="926"/>
      <c r="H82" s="926"/>
      <c r="I82" s="926"/>
      <c r="J82" s="926"/>
      <c r="K82" s="926"/>
      <c r="L82" s="926"/>
      <c r="M82" s="926"/>
      <c r="N82" s="926"/>
      <c r="O82" s="926"/>
      <c r="P82" s="926"/>
      <c r="Q82" s="926"/>
    </row>
    <row r="83" spans="1:17" s="122" customFormat="1" ht="76.75" customHeight="1">
      <c r="A83" s="925"/>
      <c r="B83" s="925"/>
      <c r="C83" s="925"/>
      <c r="D83" s="925"/>
      <c r="E83" s="925"/>
      <c r="F83" s="925"/>
      <c r="G83" s="925"/>
      <c r="H83" s="925"/>
      <c r="I83" s="925"/>
      <c r="J83" s="925"/>
      <c r="K83" s="925"/>
      <c r="L83" s="925"/>
      <c r="M83" s="925"/>
      <c r="N83" s="925"/>
      <c r="O83" s="925"/>
      <c r="P83" s="925"/>
      <c r="Q83" s="925"/>
    </row>
    <row r="84" spans="1:17" s="122" customFormat="1" ht="12.8" customHeight="1">
      <c r="B84" s="148"/>
    </row>
    <row r="85" spans="1:17" s="122" customFormat="1" ht="12.8" customHeight="1">
      <c r="B85" s="148"/>
    </row>
    <row r="86" spans="1:17" s="125" customFormat="1">
      <c r="B86" s="125" t="s">
        <v>8</v>
      </c>
      <c r="M86" s="157" t="str">
        <f>Koptame!B39</f>
        <v>Pārbaudīja:</v>
      </c>
      <c r="N86" s="157"/>
      <c r="O86" s="157"/>
      <c r="P86" s="157"/>
      <c r="Q86" s="157"/>
    </row>
    <row r="87" spans="1:17" s="125" customFormat="1">
      <c r="C87" s="175" t="str">
        <f>Koptame!C34</f>
        <v>Arnis Gailītis</v>
      </c>
      <c r="D87" s="191"/>
      <c r="M87" s="175"/>
      <c r="N87" s="922" t="str">
        <f>Koptame!C40</f>
        <v>Dzintra Cīrule</v>
      </c>
      <c r="O87" s="922"/>
      <c r="P87" s="157"/>
      <c r="Q87" s="157"/>
    </row>
    <row r="88" spans="1:17" s="125" customFormat="1">
      <c r="C88" s="176" t="str">
        <f>Koptame!C35</f>
        <v>Sertifikāta Nr.20-5643</v>
      </c>
      <c r="D88" s="192"/>
      <c r="M88" s="176"/>
      <c r="N88" s="923" t="str">
        <f>Koptame!C41</f>
        <v>Sertifikāta Nr.10-0363</v>
      </c>
      <c r="O88" s="923"/>
      <c r="P88" s="157"/>
      <c r="Q88" s="157"/>
    </row>
    <row r="89" spans="1:17" s="125" customFormat="1" collapsed="1">
      <c r="B89" s="146"/>
      <c r="G89" s="146"/>
      <c r="H89" s="146"/>
    </row>
    <row r="90" spans="1:17">
      <c r="B90" s="56"/>
      <c r="G90" s="56"/>
      <c r="H90" s="56"/>
      <c r="J90" s="19"/>
    </row>
    <row r="91" spans="1:17">
      <c r="B91" s="56"/>
      <c r="G91" s="56"/>
      <c r="H91" s="56"/>
      <c r="J91" s="19"/>
    </row>
  </sheetData>
  <mergeCells count="18">
    <mergeCell ref="C13:D13"/>
    <mergeCell ref="N88:O88"/>
    <mergeCell ref="C79:L79"/>
    <mergeCell ref="A83:Q83"/>
    <mergeCell ref="N87:O87"/>
    <mergeCell ref="A82:Q82"/>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6"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48"/>
  <sheetViews>
    <sheetView showZeros="0" view="pageBreakPreview" topLeftCell="A7" zoomScale="90" zoomScaleNormal="100" zoomScaleSheetLayoutView="90" workbookViewId="0">
      <selection activeCell="Q11" sqref="Q11"/>
    </sheetView>
  </sheetViews>
  <sheetFormatPr defaultColWidth="9.125" defaultRowHeight="12.45"/>
  <cols>
    <col min="1" max="1" width="10.25" style="67" customWidth="1"/>
    <col min="2" max="2" width="12.75" style="67" customWidth="1"/>
    <col min="3" max="3" width="32.75" style="67" customWidth="1"/>
    <col min="4" max="4" width="10" style="67" customWidth="1"/>
    <col min="5" max="5" width="13.25" style="67" customWidth="1"/>
    <col min="6" max="6" width="13.75" style="67" customWidth="1"/>
    <col min="7" max="7" width="17.625" style="67" customWidth="1"/>
    <col min="8" max="8" width="12.875" style="67" customWidth="1"/>
    <col min="9" max="9" width="16" style="67" customWidth="1"/>
    <col min="10" max="16384" width="9.125" style="67"/>
  </cols>
  <sheetData>
    <row r="1" spans="1:9" ht="17.7">
      <c r="A1" s="66"/>
    </row>
    <row r="2" spans="1:9" ht="18" customHeight="1">
      <c r="A2" s="906" t="s">
        <v>88</v>
      </c>
      <c r="B2" s="906"/>
      <c r="C2" s="906"/>
      <c r="D2" s="906"/>
      <c r="E2" s="906"/>
      <c r="F2" s="906"/>
      <c r="G2" s="906"/>
      <c r="H2" s="906"/>
      <c r="I2" s="906"/>
    </row>
    <row r="3" spans="1:9" ht="17.7">
      <c r="C3" s="68"/>
      <c r="D3" s="69"/>
      <c r="F3" s="73"/>
      <c r="G3" s="73"/>
      <c r="H3" s="73"/>
      <c r="I3" s="73"/>
    </row>
    <row r="4" spans="1:9" ht="17.7">
      <c r="C4" s="68"/>
      <c r="D4" s="69"/>
      <c r="F4" s="73"/>
      <c r="G4" s="73"/>
      <c r="H4" s="73"/>
      <c r="I4" s="73"/>
    </row>
    <row r="5" spans="1:9">
      <c r="A5" s="72"/>
    </row>
    <row r="6" spans="1:9" ht="17.7">
      <c r="A6" s="897" t="str">
        <f>Koptame!C21</f>
        <v>Vispārējie būvdarbi</v>
      </c>
      <c r="B6" s="898"/>
      <c r="C6" s="898"/>
      <c r="D6" s="898"/>
      <c r="E6" s="898"/>
      <c r="F6" s="898"/>
      <c r="G6" s="898"/>
      <c r="H6" s="898"/>
      <c r="I6" s="899"/>
    </row>
    <row r="7" spans="1:9">
      <c r="A7" s="72"/>
    </row>
    <row r="8" spans="1:9" ht="15.05">
      <c r="A8" s="909" t="s">
        <v>9</v>
      </c>
      <c r="B8" s="909"/>
      <c r="C8" s="915" t="str">
        <f>Koptame!C11</f>
        <v>Ražošanas ēka</v>
      </c>
      <c r="D8" s="915"/>
      <c r="E8" s="915"/>
      <c r="F8" s="915"/>
      <c r="G8" s="915"/>
      <c r="H8" s="915"/>
      <c r="I8" s="915"/>
    </row>
    <row r="9" spans="1:9" ht="15.75" customHeight="1">
      <c r="A9" s="900" t="s">
        <v>27</v>
      </c>
      <c r="B9" s="900"/>
      <c r="C9" s="915" t="str">
        <f>Koptame!C12</f>
        <v>Ražošanas ēkas Nr.7 jaunbūve</v>
      </c>
      <c r="D9" s="915"/>
      <c r="E9" s="915"/>
      <c r="F9" s="915"/>
      <c r="G9" s="915"/>
      <c r="H9" s="915"/>
      <c r="I9" s="915"/>
    </row>
    <row r="10" spans="1:9" ht="15.05">
      <c r="A10" s="900" t="s">
        <v>10</v>
      </c>
      <c r="B10" s="900"/>
      <c r="C10" s="915" t="str">
        <f>Koptame!C13</f>
        <v>Ventspils, Ventspils Augsto tehnoloģiju parks</v>
      </c>
      <c r="D10" s="915"/>
      <c r="E10" s="915"/>
      <c r="F10" s="915"/>
      <c r="G10" s="915"/>
      <c r="H10" s="915"/>
      <c r="I10" s="915"/>
    </row>
    <row r="11" spans="1:9" ht="15.05">
      <c r="A11" s="900" t="str">
        <f>Koptame!B14</f>
        <v>Pasūtījuma Nr.</v>
      </c>
      <c r="B11" s="900"/>
      <c r="C11" s="98" t="str">
        <f>Koptame!C14</f>
        <v>2016-04</v>
      </c>
      <c r="D11" s="73"/>
      <c r="F11" s="74"/>
      <c r="G11" s="74"/>
      <c r="H11" s="74"/>
      <c r="I11" s="74"/>
    </row>
    <row r="12" spans="1:9" ht="15.05" customHeight="1">
      <c r="A12" s="95"/>
      <c r="B12" s="95"/>
      <c r="C12" s="73"/>
      <c r="D12" s="73"/>
      <c r="F12" s="74"/>
      <c r="G12" s="74"/>
      <c r="H12" s="74"/>
      <c r="I12" s="74"/>
    </row>
    <row r="13" spans="1:9" ht="18" customHeight="1">
      <c r="A13" s="75"/>
      <c r="F13" s="907" t="s">
        <v>63</v>
      </c>
      <c r="G13" s="908"/>
      <c r="H13" s="70">
        <f>E37</f>
        <v>2484712.3400000003</v>
      </c>
      <c r="I13" s="71"/>
    </row>
    <row r="14" spans="1:9" ht="17.7">
      <c r="A14" s="75"/>
      <c r="F14" s="907" t="s">
        <v>14</v>
      </c>
      <c r="G14" s="908"/>
      <c r="H14" s="70">
        <f>I33</f>
        <v>57523.62999999999</v>
      </c>
      <c r="I14" s="71"/>
    </row>
    <row r="15" spans="1:9" ht="14.4">
      <c r="G15" s="12" t="str">
        <f>Koptame!D16</f>
        <v>Tāme sastādīta:  2018.gada 19. februāris</v>
      </c>
      <c r="H15" s="177">
        <f>H14+kops2!H14+kops3!H14+kops4!H14</f>
        <v>99836.51</v>
      </c>
    </row>
    <row r="16" spans="1:9" ht="14.4">
      <c r="G16" s="12"/>
    </row>
    <row r="17" spans="1:9" ht="15.05">
      <c r="A17" s="76"/>
    </row>
    <row r="18" spans="1:9" ht="51.05" customHeight="1">
      <c r="A18" s="901" t="s">
        <v>15</v>
      </c>
      <c r="B18" s="901" t="s">
        <v>16</v>
      </c>
      <c r="C18" s="902" t="s">
        <v>96</v>
      </c>
      <c r="D18" s="903"/>
      <c r="E18" s="901" t="s">
        <v>64</v>
      </c>
      <c r="F18" s="901" t="s">
        <v>17</v>
      </c>
      <c r="G18" s="901"/>
      <c r="H18" s="901"/>
      <c r="I18" s="901" t="s">
        <v>18</v>
      </c>
    </row>
    <row r="19" spans="1:9" ht="40.75" customHeight="1">
      <c r="A19" s="901"/>
      <c r="B19" s="901"/>
      <c r="C19" s="904"/>
      <c r="D19" s="905"/>
      <c r="E19" s="901"/>
      <c r="F19" s="158" t="s">
        <v>65</v>
      </c>
      <c r="G19" s="158" t="s">
        <v>94</v>
      </c>
      <c r="H19" s="158" t="s">
        <v>67</v>
      </c>
      <c r="I19" s="901"/>
    </row>
    <row r="20" spans="1:9" ht="17.7">
      <c r="A20" s="77"/>
      <c r="B20" s="78"/>
      <c r="C20" s="917"/>
      <c r="D20" s="918"/>
      <c r="E20" s="78"/>
      <c r="F20" s="78"/>
      <c r="G20" s="78"/>
      <c r="H20" s="78"/>
      <c r="I20" s="79"/>
    </row>
    <row r="21" spans="1:9" ht="13.1">
      <c r="A21" s="80">
        <v>1</v>
      </c>
      <c r="B21" s="81" t="s">
        <v>32</v>
      </c>
      <c r="C21" s="912" t="s">
        <v>1088</v>
      </c>
      <c r="D21" s="913"/>
      <c r="E21" s="64">
        <f>'1,1'!P24</f>
        <v>122100.48000000001</v>
      </c>
      <c r="F21" s="64">
        <f>'1,1'!M24</f>
        <v>32821.9</v>
      </c>
      <c r="G21" s="64">
        <f>'1,1'!N24</f>
        <v>15980.58</v>
      </c>
      <c r="H21" s="64">
        <f>'1,1'!O24</f>
        <v>73298</v>
      </c>
      <c r="I21" s="65">
        <f>'1,1'!L24</f>
        <v>3861.3999999999996</v>
      </c>
    </row>
    <row r="22" spans="1:9" ht="13.1">
      <c r="A22" s="80">
        <v>2</v>
      </c>
      <c r="B22" s="81" t="s">
        <v>52</v>
      </c>
      <c r="C22" s="912" t="s">
        <v>1089</v>
      </c>
      <c r="D22" s="913"/>
      <c r="E22" s="64">
        <f>'1,2'!P225</f>
        <v>259746.8100000002</v>
      </c>
      <c r="F22" s="64">
        <f>'1,2'!M225</f>
        <v>77041.720000000016</v>
      </c>
      <c r="G22" s="64">
        <f>'1,2'!N225</f>
        <v>115839.36000000006</v>
      </c>
      <c r="H22" s="64">
        <f>'1,2'!O225</f>
        <v>66865.73</v>
      </c>
      <c r="I22" s="65">
        <f>'1,2'!L225</f>
        <v>8108.6400000000031</v>
      </c>
    </row>
    <row r="23" spans="1:9" ht="13.1">
      <c r="A23" s="80">
        <v>3</v>
      </c>
      <c r="B23" s="81" t="s">
        <v>33</v>
      </c>
      <c r="C23" s="912" t="s">
        <v>1090</v>
      </c>
      <c r="D23" s="913"/>
      <c r="E23" s="64">
        <f>'1,3'!P149</f>
        <v>455761.32999999996</v>
      </c>
      <c r="F23" s="64">
        <f>'1,3'!M149</f>
        <v>82738.26999999996</v>
      </c>
      <c r="G23" s="64">
        <f>'1,3'!N149</f>
        <v>358312.75000000017</v>
      </c>
      <c r="H23" s="64">
        <f>'1,3'!O149</f>
        <v>14710.310000000001</v>
      </c>
      <c r="I23" s="65">
        <f>'1,3'!L149</f>
        <v>8706.6299999999974</v>
      </c>
    </row>
    <row r="24" spans="1:9" ht="29.95" customHeight="1">
      <c r="A24" s="80">
        <v>4</v>
      </c>
      <c r="B24" s="81" t="s">
        <v>34</v>
      </c>
      <c r="C24" s="912" t="s">
        <v>1091</v>
      </c>
      <c r="D24" s="913"/>
      <c r="E24" s="64">
        <f>'1,4'!P25</f>
        <v>39492.909999999996</v>
      </c>
      <c r="F24" s="64">
        <f>'1,4'!M25</f>
        <v>7629.7000000000007</v>
      </c>
      <c r="G24" s="64">
        <f>'1,4'!N25</f>
        <v>27935.25</v>
      </c>
      <c r="H24" s="64">
        <f>'1,4'!O25</f>
        <v>3927.96</v>
      </c>
      <c r="I24" s="65">
        <f>'1,4'!L25</f>
        <v>801.45999999999992</v>
      </c>
    </row>
    <row r="25" spans="1:9" ht="12.8" customHeight="1">
      <c r="A25" s="80">
        <v>5</v>
      </c>
      <c r="B25" s="81" t="s">
        <v>35</v>
      </c>
      <c r="C25" s="912" t="s">
        <v>1092</v>
      </c>
      <c r="D25" s="913"/>
      <c r="E25" s="64">
        <f>'1,5'!P58</f>
        <v>484089.77999999997</v>
      </c>
      <c r="F25" s="64">
        <f>'1,5'!M58</f>
        <v>101644.91</v>
      </c>
      <c r="G25" s="64">
        <f>'1,5'!N58</f>
        <v>371396.65</v>
      </c>
      <c r="H25" s="64">
        <f>'1,5'!O58</f>
        <v>11048.219999999998</v>
      </c>
      <c r="I25" s="65">
        <f>'1,5'!L58</f>
        <v>10698.399999999998</v>
      </c>
    </row>
    <row r="26" spans="1:9" ht="12.8" customHeight="1">
      <c r="A26" s="80">
        <v>6</v>
      </c>
      <c r="B26" s="81" t="s">
        <v>36</v>
      </c>
      <c r="C26" s="912" t="s">
        <v>1093</v>
      </c>
      <c r="D26" s="913"/>
      <c r="E26" s="64">
        <f>'1,6'!P93</f>
        <v>33265.629999999997</v>
      </c>
      <c r="F26" s="64">
        <f>'1,6'!M93</f>
        <v>3658.1499999999996</v>
      </c>
      <c r="G26" s="64">
        <f>'1,6'!N93</f>
        <v>28882.300000000003</v>
      </c>
      <c r="H26" s="64">
        <f>'1,6'!O93</f>
        <v>725.18000000000006</v>
      </c>
      <c r="I26" s="65">
        <f>'1,6'!L93</f>
        <v>385.07</v>
      </c>
    </row>
    <row r="27" spans="1:9" ht="13.1">
      <c r="A27" s="80">
        <v>7</v>
      </c>
      <c r="B27" s="81" t="s">
        <v>37</v>
      </c>
      <c r="C27" s="912" t="s">
        <v>1094</v>
      </c>
      <c r="D27" s="913"/>
      <c r="E27" s="64">
        <f>'1,7'!P74</f>
        <v>467867.68000000017</v>
      </c>
      <c r="F27" s="64">
        <f>'1,7'!M74</f>
        <v>126314.40000000002</v>
      </c>
      <c r="G27" s="64">
        <f>'1,7'!N74</f>
        <v>319187.21000000002</v>
      </c>
      <c r="H27" s="64">
        <f>'1,7'!O74</f>
        <v>22366.070000000014</v>
      </c>
      <c r="I27" s="65">
        <f>'1,7'!L74</f>
        <v>13319.77</v>
      </c>
    </row>
    <row r="28" spans="1:9" ht="13.1">
      <c r="A28" s="80">
        <v>8</v>
      </c>
      <c r="B28" s="81" t="s">
        <v>38</v>
      </c>
      <c r="C28" s="912" t="s">
        <v>1095</v>
      </c>
      <c r="D28" s="913"/>
      <c r="E28" s="64">
        <f>'1,8'!P93</f>
        <v>217288.71999999994</v>
      </c>
      <c r="F28" s="64">
        <f>'1,8'!M93</f>
        <v>26606.62</v>
      </c>
      <c r="G28" s="64">
        <f>'1,8'!N93</f>
        <v>188589.78999999998</v>
      </c>
      <c r="H28" s="64">
        <f>'1,8'!O93</f>
        <v>2092.31</v>
      </c>
      <c r="I28" s="65">
        <f>'1,8'!L93</f>
        <v>2818.5</v>
      </c>
    </row>
    <row r="29" spans="1:9" ht="13.1">
      <c r="A29" s="80">
        <v>9</v>
      </c>
      <c r="B29" s="81" t="s">
        <v>39</v>
      </c>
      <c r="C29" s="912" t="s">
        <v>1096</v>
      </c>
      <c r="D29" s="913"/>
      <c r="E29" s="64">
        <f>'1,9'!P61</f>
        <v>117293.06999999999</v>
      </c>
      <c r="F29" s="64">
        <f>'1,9'!M61</f>
        <v>78129.67</v>
      </c>
      <c r="G29" s="64">
        <f>'1,9'!N61</f>
        <v>36594.660000000011</v>
      </c>
      <c r="H29" s="64">
        <f>'1,9'!O61</f>
        <v>2568.7399999999998</v>
      </c>
      <c r="I29" s="65">
        <f>'1,9'!L61</f>
        <v>8223.5600000000013</v>
      </c>
    </row>
    <row r="30" spans="1:9" ht="12.8" customHeight="1">
      <c r="A30" s="80">
        <v>10</v>
      </c>
      <c r="B30" s="81" t="s">
        <v>40</v>
      </c>
      <c r="C30" s="912" t="s">
        <v>1097</v>
      </c>
      <c r="D30" s="913"/>
      <c r="E30" s="64">
        <f>'1,10'!P34</f>
        <v>10490.75</v>
      </c>
      <c r="F30" s="64">
        <f>'1,10'!M34</f>
        <v>4489</v>
      </c>
      <c r="G30" s="64">
        <f>'1,10'!N34</f>
        <v>5826.75</v>
      </c>
      <c r="H30" s="64">
        <f>'1,10'!O34</f>
        <v>175</v>
      </c>
      <c r="I30" s="65">
        <f>'1,10'!L34</f>
        <v>472.2</v>
      </c>
    </row>
    <row r="31" spans="1:9" ht="13.1">
      <c r="A31" s="80">
        <v>11</v>
      </c>
      <c r="B31" s="81" t="s">
        <v>41</v>
      </c>
      <c r="C31" s="912" t="s">
        <v>1098</v>
      </c>
      <c r="D31" s="913"/>
      <c r="E31" s="64">
        <f>'1,11'!P18</f>
        <v>11096</v>
      </c>
      <c r="F31" s="64">
        <f>'1,11'!M18</f>
        <v>1216</v>
      </c>
      <c r="G31" s="64">
        <f>'1,11'!N18</f>
        <v>9800</v>
      </c>
      <c r="H31" s="64">
        <f>'1,11'!O18</f>
        <v>80</v>
      </c>
      <c r="I31" s="65">
        <f>'1,11'!L18</f>
        <v>128</v>
      </c>
    </row>
    <row r="32" spans="1:9" ht="13.1">
      <c r="A32" s="83"/>
      <c r="B32" s="84"/>
      <c r="C32" s="910"/>
      <c r="D32" s="911"/>
      <c r="E32" s="82"/>
      <c r="F32" s="82"/>
      <c r="G32" s="82"/>
      <c r="H32" s="82"/>
      <c r="I32" s="85"/>
    </row>
    <row r="33" spans="1:9" ht="16.55" customHeight="1">
      <c r="A33" s="120"/>
      <c r="B33" s="120"/>
      <c r="C33" s="86" t="s">
        <v>19</v>
      </c>
      <c r="D33" s="86"/>
      <c r="E33" s="87">
        <f>SUM(E21:E32)</f>
        <v>2218493.16</v>
      </c>
      <c r="F33" s="87">
        <f>SUM(F21:F32)</f>
        <v>542290.34000000008</v>
      </c>
      <c r="G33" s="87">
        <f>SUM(G21:G32)</f>
        <v>1478345.3000000003</v>
      </c>
      <c r="H33" s="87">
        <f>SUM(H21:H32)</f>
        <v>197857.51999999996</v>
      </c>
      <c r="I33" s="87">
        <f>SUM(I21:I32)</f>
        <v>57523.62999999999</v>
      </c>
    </row>
    <row r="34" spans="1:9" ht="15.05">
      <c r="A34" s="916" t="s">
        <v>42</v>
      </c>
      <c r="B34" s="916"/>
      <c r="C34" s="916"/>
      <c r="D34" s="88">
        <v>7.0000000000000007E-2</v>
      </c>
      <c r="E34" s="89">
        <f>ROUND(E33*D34,2)</f>
        <v>155294.51999999999</v>
      </c>
    </row>
    <row r="35" spans="1:9" ht="15.75">
      <c r="A35" s="119"/>
      <c r="B35" s="119"/>
      <c r="C35" s="143" t="s">
        <v>53</v>
      </c>
      <c r="D35" s="88"/>
      <c r="E35" s="89">
        <f>E34*0.1</f>
        <v>15529.451999999999</v>
      </c>
    </row>
    <row r="36" spans="1:9" ht="15.05">
      <c r="A36" s="916" t="s">
        <v>28</v>
      </c>
      <c r="B36" s="916"/>
      <c r="C36" s="916"/>
      <c r="D36" s="88">
        <v>0.05</v>
      </c>
      <c r="E36" s="89">
        <f>ROUND(E33*D36,2)</f>
        <v>110924.66</v>
      </c>
    </row>
    <row r="37" spans="1:9" ht="18" customHeight="1">
      <c r="A37" s="914"/>
      <c r="B37" s="914"/>
      <c r="C37" s="86" t="s">
        <v>20</v>
      </c>
      <c r="D37" s="86"/>
      <c r="E37" s="90">
        <f>E36+E34+E33</f>
        <v>2484712.3400000003</v>
      </c>
    </row>
    <row r="38" spans="1:9" ht="17.7">
      <c r="A38" s="91"/>
    </row>
    <row r="39" spans="1:9" ht="17.7">
      <c r="A39" s="91"/>
    </row>
    <row r="40" spans="1:9" ht="14.4">
      <c r="A40" s="92"/>
      <c r="B40" s="2" t="s">
        <v>8</v>
      </c>
      <c r="C40" s="3"/>
      <c r="F40" s="74"/>
    </row>
    <row r="41" spans="1:9" ht="14.4">
      <c r="A41" s="74"/>
      <c r="B41" s="3"/>
      <c r="C41" s="149" t="str">
        <f>Koptame!C34</f>
        <v>Arnis Gailītis</v>
      </c>
      <c r="D41" s="93"/>
      <c r="E41" s="93"/>
      <c r="F41" s="74"/>
    </row>
    <row r="42" spans="1:9" ht="14.4">
      <c r="A42" s="94"/>
      <c r="B42" s="2"/>
      <c r="C42" s="150" t="str">
        <f>Koptame!C35</f>
        <v>Sertifikāta Nr.20-5643</v>
      </c>
      <c r="D42" s="74"/>
      <c r="E42" s="74"/>
      <c r="F42" s="74"/>
    </row>
    <row r="43" spans="1:9" ht="14.4">
      <c r="B43" s="2"/>
      <c r="C43" s="150"/>
    </row>
    <row r="44" spans="1:9" ht="14.4">
      <c r="B44" s="2"/>
      <c r="C44" s="150"/>
    </row>
    <row r="45" spans="1:9" ht="14.4">
      <c r="B45" s="4"/>
      <c r="C45" s="1"/>
    </row>
    <row r="46" spans="1:9" ht="14.4">
      <c r="B46" s="2" t="str">
        <f>Koptame!B39</f>
        <v>Pārbaudīja:</v>
      </c>
      <c r="C46" s="124"/>
    </row>
    <row r="47" spans="1:9" ht="14.4">
      <c r="B47" s="3"/>
      <c r="C47" s="153" t="str">
        <f>Koptame!C40</f>
        <v>Dzintra Cīrule</v>
      </c>
    </row>
    <row r="48" spans="1:9" ht="14.4">
      <c r="B48" s="2"/>
      <c r="C48" s="154" t="str">
        <f>Koptame!C41</f>
        <v>Sertifikāta Nr.10-0363</v>
      </c>
    </row>
  </sheetData>
  <mergeCells count="33">
    <mergeCell ref="A37:B37"/>
    <mergeCell ref="C8:I8"/>
    <mergeCell ref="C9:I9"/>
    <mergeCell ref="C10:I10"/>
    <mergeCell ref="E18:E19"/>
    <mergeCell ref="F18:H18"/>
    <mergeCell ref="C22:D22"/>
    <mergeCell ref="C23:D23"/>
    <mergeCell ref="A34:C34"/>
    <mergeCell ref="A36:C36"/>
    <mergeCell ref="C30:D30"/>
    <mergeCell ref="A9:B9"/>
    <mergeCell ref="C31:D31"/>
    <mergeCell ref="A10:B10"/>
    <mergeCell ref="C20:D20"/>
    <mergeCell ref="C21:D21"/>
    <mergeCell ref="C32:D32"/>
    <mergeCell ref="C24:D24"/>
    <mergeCell ref="C25:D25"/>
    <mergeCell ref="C26:D26"/>
    <mergeCell ref="C27:D27"/>
    <mergeCell ref="C28:D28"/>
    <mergeCell ref="C29:D29"/>
    <mergeCell ref="A6:I6"/>
    <mergeCell ref="A11:B11"/>
    <mergeCell ref="I18:I19"/>
    <mergeCell ref="C18:D19"/>
    <mergeCell ref="A2:I2"/>
    <mergeCell ref="F13:G13"/>
    <mergeCell ref="F14:G14"/>
    <mergeCell ref="A18:A19"/>
    <mergeCell ref="B18:B19"/>
    <mergeCell ref="A8:B8"/>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118"/>
  <sheetViews>
    <sheetView showZeros="0" view="pageBreakPreview" topLeftCell="A85" zoomScale="90" zoomScaleNormal="100" zoomScaleSheetLayoutView="90" workbookViewId="0">
      <selection activeCell="L23" sqref="L23"/>
    </sheetView>
  </sheetViews>
  <sheetFormatPr defaultColWidth="9.125" defaultRowHeight="14.4"/>
  <cols>
    <col min="1" max="1" width="9" style="19" customWidth="1"/>
    <col min="2" max="2" width="9.375" style="19" customWidth="1"/>
    <col min="3" max="3" width="40.25" style="19" customWidth="1"/>
    <col min="4" max="4" width="18.25" style="19" customWidth="1"/>
    <col min="5" max="5" width="8.125" style="19" customWidth="1"/>
    <col min="6" max="9" width="9.125" style="19"/>
    <col min="10" max="10" width="9.125" style="56"/>
    <col min="11"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10" t="str">
        <f>kops2!B26</f>
        <v>2,6</v>
      </c>
      <c r="J1" s="53"/>
    </row>
    <row r="2" spans="1:17" s="24" customFormat="1">
      <c r="A2" s="919" t="str">
        <f>C13</f>
        <v>Siltuma mezgls</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Q106</f>
        <v>21790.120000000003</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209"/>
      <c r="B13" s="210">
        <v>0</v>
      </c>
      <c r="C13" s="949" t="str">
        <f>kops2!C26</f>
        <v>Siltuma mezgls</v>
      </c>
      <c r="D13" s="950"/>
      <c r="E13" s="212"/>
      <c r="F13" s="213"/>
      <c r="G13" s="251">
        <v>0</v>
      </c>
      <c r="H13" s="251">
        <v>0</v>
      </c>
      <c r="I13" s="216">
        <v>0</v>
      </c>
      <c r="J13" s="215">
        <v>0</v>
      </c>
      <c r="K13" s="215">
        <v>0</v>
      </c>
      <c r="L13" s="215">
        <f t="shared" ref="L13" si="0">SUM(I13:K13)</f>
        <v>0</v>
      </c>
      <c r="M13" s="214">
        <f t="shared" ref="M13:M76" si="1">ROUND(G13*F13,2)</f>
        <v>0</v>
      </c>
      <c r="N13" s="215">
        <f t="shared" ref="N13" si="2">ROUND(I13*F13,2)</f>
        <v>0</v>
      </c>
      <c r="O13" s="215">
        <f t="shared" ref="O13" si="3">ROUND(J13*F13,2)</f>
        <v>0</v>
      </c>
      <c r="P13" s="215">
        <f t="shared" ref="P13" si="4">ROUND(K13*F13,2)</f>
        <v>0</v>
      </c>
      <c r="Q13" s="244">
        <f t="shared" ref="Q13" si="5">SUM(N13:P13)</f>
        <v>0</v>
      </c>
    </row>
    <row r="14" spans="1:17" s="56" customFormat="1" ht="33.4" customHeight="1">
      <c r="A14" s="217">
        <v>1</v>
      </c>
      <c r="B14" s="238"/>
      <c r="C14" s="224" t="s">
        <v>460</v>
      </c>
      <c r="D14" s="734" t="s">
        <v>1669</v>
      </c>
      <c r="E14" s="219" t="s">
        <v>136</v>
      </c>
      <c r="F14" s="311">
        <v>1</v>
      </c>
      <c r="G14" s="240">
        <v>38.4</v>
      </c>
      <c r="H14" s="240">
        <v>10</v>
      </c>
      <c r="I14" s="694">
        <v>384</v>
      </c>
      <c r="J14" s="735">
        <v>2304</v>
      </c>
      <c r="K14" s="694">
        <v>57.599999999999994</v>
      </c>
      <c r="L14" s="102">
        <f t="shared" ref="L14:L45" si="6">SUM(I14:K14)</f>
        <v>2745.6</v>
      </c>
      <c r="M14" s="50">
        <f t="shared" si="1"/>
        <v>38.4</v>
      </c>
      <c r="N14" s="102">
        <f t="shared" ref="N14:N45" si="7">ROUND(I14*F14,2)</f>
        <v>384</v>
      </c>
      <c r="O14" s="102">
        <f t="shared" ref="O14:O45" si="8">ROUND(J14*F14,2)</f>
        <v>2304</v>
      </c>
      <c r="P14" s="102">
        <f t="shared" ref="P14:P45" si="9">ROUND(K14*F14,2)</f>
        <v>57.6</v>
      </c>
      <c r="Q14" s="103">
        <f t="shared" ref="Q14:Q45" si="10">SUM(N14:P14)</f>
        <v>2745.6</v>
      </c>
    </row>
    <row r="15" spans="1:17" s="56" customFormat="1" ht="24.9">
      <c r="A15" s="217">
        <v>2</v>
      </c>
      <c r="B15" s="238"/>
      <c r="C15" s="224" t="s">
        <v>461</v>
      </c>
      <c r="D15" s="224" t="s">
        <v>462</v>
      </c>
      <c r="E15" s="219" t="s">
        <v>118</v>
      </c>
      <c r="F15" s="311">
        <v>1</v>
      </c>
      <c r="G15" s="240">
        <v>2.6</v>
      </c>
      <c r="H15" s="240">
        <v>10</v>
      </c>
      <c r="I15" s="694">
        <v>26</v>
      </c>
      <c r="J15" s="735">
        <v>940.19999999999993</v>
      </c>
      <c r="K15" s="694">
        <v>3.9</v>
      </c>
      <c r="L15" s="102">
        <f t="shared" si="6"/>
        <v>970.09999999999991</v>
      </c>
      <c r="M15" s="50">
        <f t="shared" si="1"/>
        <v>2.6</v>
      </c>
      <c r="N15" s="102">
        <f t="shared" si="7"/>
        <v>26</v>
      </c>
      <c r="O15" s="102">
        <f t="shared" si="8"/>
        <v>940.2</v>
      </c>
      <c r="P15" s="102">
        <f t="shared" si="9"/>
        <v>3.9</v>
      </c>
      <c r="Q15" s="103">
        <f t="shared" si="10"/>
        <v>970.1</v>
      </c>
    </row>
    <row r="16" spans="1:17" s="56" customFormat="1" ht="62.2">
      <c r="A16" s="217">
        <v>3</v>
      </c>
      <c r="B16" s="238"/>
      <c r="C16" s="224" t="s">
        <v>463</v>
      </c>
      <c r="D16" s="224" t="s">
        <v>464</v>
      </c>
      <c r="E16" s="219" t="s">
        <v>136</v>
      </c>
      <c r="F16" s="311">
        <v>1</v>
      </c>
      <c r="G16" s="240">
        <v>6.5</v>
      </c>
      <c r="H16" s="240">
        <v>10</v>
      </c>
      <c r="I16" s="694">
        <v>65</v>
      </c>
      <c r="J16" s="735">
        <v>630</v>
      </c>
      <c r="K16" s="694">
        <v>9.75</v>
      </c>
      <c r="L16" s="102">
        <f t="shared" si="6"/>
        <v>704.75</v>
      </c>
      <c r="M16" s="50">
        <f t="shared" si="1"/>
        <v>6.5</v>
      </c>
      <c r="N16" s="102">
        <f t="shared" si="7"/>
        <v>65</v>
      </c>
      <c r="O16" s="102">
        <f t="shared" si="8"/>
        <v>630</v>
      </c>
      <c r="P16" s="102">
        <f t="shared" si="9"/>
        <v>9.75</v>
      </c>
      <c r="Q16" s="103">
        <f t="shared" si="10"/>
        <v>704.75</v>
      </c>
    </row>
    <row r="17" spans="1:17" s="56" customFormat="1" ht="24.9">
      <c r="A17" s="217">
        <v>4</v>
      </c>
      <c r="B17" s="238"/>
      <c r="C17" s="224" t="s">
        <v>465</v>
      </c>
      <c r="D17" s="224" t="s">
        <v>466</v>
      </c>
      <c r="E17" s="219" t="s">
        <v>118</v>
      </c>
      <c r="F17" s="311">
        <v>1</v>
      </c>
      <c r="G17" s="240">
        <v>12</v>
      </c>
      <c r="H17" s="240">
        <v>10</v>
      </c>
      <c r="I17" s="694">
        <v>120</v>
      </c>
      <c r="J17" s="735">
        <v>685.8</v>
      </c>
      <c r="K17" s="694">
        <v>18</v>
      </c>
      <c r="L17" s="102">
        <f t="shared" si="6"/>
        <v>823.8</v>
      </c>
      <c r="M17" s="50">
        <f t="shared" si="1"/>
        <v>12</v>
      </c>
      <c r="N17" s="102">
        <f t="shared" si="7"/>
        <v>120</v>
      </c>
      <c r="O17" s="102">
        <f t="shared" si="8"/>
        <v>685.8</v>
      </c>
      <c r="P17" s="102">
        <f t="shared" si="9"/>
        <v>18</v>
      </c>
      <c r="Q17" s="103">
        <f t="shared" si="10"/>
        <v>823.8</v>
      </c>
    </row>
    <row r="18" spans="1:17" s="56" customFormat="1" ht="24.9">
      <c r="A18" s="217">
        <v>5</v>
      </c>
      <c r="B18" s="238"/>
      <c r="C18" s="224" t="s">
        <v>467</v>
      </c>
      <c r="D18" s="224" t="s">
        <v>468</v>
      </c>
      <c r="E18" s="219" t="s">
        <v>118</v>
      </c>
      <c r="F18" s="311">
        <v>1</v>
      </c>
      <c r="G18" s="240">
        <v>12</v>
      </c>
      <c r="H18" s="240">
        <v>10</v>
      </c>
      <c r="I18" s="694">
        <v>120</v>
      </c>
      <c r="J18" s="735">
        <v>463.2</v>
      </c>
      <c r="K18" s="694">
        <v>18</v>
      </c>
      <c r="L18" s="102">
        <f t="shared" si="6"/>
        <v>601.20000000000005</v>
      </c>
      <c r="M18" s="50">
        <f t="shared" si="1"/>
        <v>12</v>
      </c>
      <c r="N18" s="102">
        <f t="shared" si="7"/>
        <v>120</v>
      </c>
      <c r="O18" s="102">
        <f t="shared" si="8"/>
        <v>463.2</v>
      </c>
      <c r="P18" s="102">
        <f t="shared" si="9"/>
        <v>18</v>
      </c>
      <c r="Q18" s="103">
        <f t="shared" si="10"/>
        <v>601.20000000000005</v>
      </c>
    </row>
    <row r="19" spans="1:17" s="56" customFormat="1" ht="24.9">
      <c r="A19" s="217">
        <v>6</v>
      </c>
      <c r="B19" s="238"/>
      <c r="C19" s="224" t="s">
        <v>469</v>
      </c>
      <c r="D19" s="224" t="s">
        <v>470</v>
      </c>
      <c r="E19" s="219" t="s">
        <v>118</v>
      </c>
      <c r="F19" s="311">
        <v>1</v>
      </c>
      <c r="G19" s="240">
        <v>12</v>
      </c>
      <c r="H19" s="240">
        <v>10</v>
      </c>
      <c r="I19" s="694">
        <v>120</v>
      </c>
      <c r="J19" s="735">
        <v>712.19999999999993</v>
      </c>
      <c r="K19" s="694">
        <v>18</v>
      </c>
      <c r="L19" s="102">
        <f t="shared" si="6"/>
        <v>850.19999999999993</v>
      </c>
      <c r="M19" s="50">
        <f t="shared" si="1"/>
        <v>12</v>
      </c>
      <c r="N19" s="102">
        <f t="shared" si="7"/>
        <v>120</v>
      </c>
      <c r="O19" s="102">
        <f t="shared" si="8"/>
        <v>712.2</v>
      </c>
      <c r="P19" s="102">
        <f t="shared" si="9"/>
        <v>18</v>
      </c>
      <c r="Q19" s="103">
        <f t="shared" si="10"/>
        <v>850.2</v>
      </c>
    </row>
    <row r="20" spans="1:17" s="56" customFormat="1">
      <c r="A20" s="217">
        <v>7</v>
      </c>
      <c r="B20" s="238"/>
      <c r="C20" s="224" t="s">
        <v>471</v>
      </c>
      <c r="D20" s="224" t="s">
        <v>472</v>
      </c>
      <c r="E20" s="219" t="s">
        <v>118</v>
      </c>
      <c r="F20" s="311">
        <v>1</v>
      </c>
      <c r="G20" s="240">
        <v>7</v>
      </c>
      <c r="H20" s="240">
        <v>10</v>
      </c>
      <c r="I20" s="694">
        <v>70</v>
      </c>
      <c r="J20" s="735">
        <v>481.79999999999995</v>
      </c>
      <c r="K20" s="694">
        <v>10.5</v>
      </c>
      <c r="L20" s="102">
        <f t="shared" si="6"/>
        <v>562.29999999999995</v>
      </c>
      <c r="M20" s="50">
        <f t="shared" si="1"/>
        <v>7</v>
      </c>
      <c r="N20" s="102">
        <f t="shared" si="7"/>
        <v>70</v>
      </c>
      <c r="O20" s="102">
        <f t="shared" si="8"/>
        <v>481.8</v>
      </c>
      <c r="P20" s="102">
        <f t="shared" si="9"/>
        <v>10.5</v>
      </c>
      <c r="Q20" s="103">
        <f t="shared" si="10"/>
        <v>562.29999999999995</v>
      </c>
    </row>
    <row r="21" spans="1:17" s="56" customFormat="1" ht="24.9">
      <c r="A21" s="217">
        <v>8</v>
      </c>
      <c r="B21" s="238"/>
      <c r="C21" s="224" t="s">
        <v>473</v>
      </c>
      <c r="D21" s="224" t="s">
        <v>474</v>
      </c>
      <c r="E21" s="219" t="s">
        <v>118</v>
      </c>
      <c r="F21" s="311">
        <v>1</v>
      </c>
      <c r="G21" s="240">
        <v>7</v>
      </c>
      <c r="H21" s="240">
        <v>10</v>
      </c>
      <c r="I21" s="694">
        <v>70</v>
      </c>
      <c r="J21" s="735">
        <v>558</v>
      </c>
      <c r="K21" s="694">
        <v>10.5</v>
      </c>
      <c r="L21" s="102">
        <f t="shared" si="6"/>
        <v>638.5</v>
      </c>
      <c r="M21" s="50">
        <f t="shared" si="1"/>
        <v>7</v>
      </c>
      <c r="N21" s="102">
        <f t="shared" si="7"/>
        <v>70</v>
      </c>
      <c r="O21" s="102">
        <f t="shared" si="8"/>
        <v>558</v>
      </c>
      <c r="P21" s="102">
        <f t="shared" si="9"/>
        <v>10.5</v>
      </c>
      <c r="Q21" s="103">
        <f t="shared" si="10"/>
        <v>638.5</v>
      </c>
    </row>
    <row r="22" spans="1:17" s="56" customFormat="1">
      <c r="A22" s="217">
        <v>9</v>
      </c>
      <c r="B22" s="238"/>
      <c r="C22" s="224" t="s">
        <v>475</v>
      </c>
      <c r="D22" s="224" t="s">
        <v>476</v>
      </c>
      <c r="E22" s="219" t="s">
        <v>118</v>
      </c>
      <c r="F22" s="311">
        <v>1</v>
      </c>
      <c r="G22" s="240">
        <v>7</v>
      </c>
      <c r="H22" s="240">
        <v>10</v>
      </c>
      <c r="I22" s="694">
        <v>70</v>
      </c>
      <c r="J22" s="735">
        <v>576</v>
      </c>
      <c r="K22" s="694">
        <v>10.5</v>
      </c>
      <c r="L22" s="102">
        <f t="shared" si="6"/>
        <v>656.5</v>
      </c>
      <c r="M22" s="50">
        <f t="shared" si="1"/>
        <v>7</v>
      </c>
      <c r="N22" s="102">
        <f t="shared" si="7"/>
        <v>70</v>
      </c>
      <c r="O22" s="102">
        <f t="shared" si="8"/>
        <v>576</v>
      </c>
      <c r="P22" s="102">
        <f t="shared" si="9"/>
        <v>10.5</v>
      </c>
      <c r="Q22" s="103">
        <f t="shared" si="10"/>
        <v>656.5</v>
      </c>
    </row>
    <row r="23" spans="1:17" s="56" customFormat="1">
      <c r="A23" s="217">
        <v>10</v>
      </c>
      <c r="B23" s="238"/>
      <c r="C23" s="224" t="s">
        <v>477</v>
      </c>
      <c r="D23" s="224" t="s">
        <v>478</v>
      </c>
      <c r="E23" s="219" t="s">
        <v>118</v>
      </c>
      <c r="F23" s="311">
        <v>1</v>
      </c>
      <c r="G23" s="240">
        <v>2.6</v>
      </c>
      <c r="H23" s="240">
        <v>10</v>
      </c>
      <c r="I23" s="694">
        <v>26</v>
      </c>
      <c r="J23" s="735">
        <v>162.6</v>
      </c>
      <c r="K23" s="694">
        <v>3.9</v>
      </c>
      <c r="L23" s="102">
        <f t="shared" si="6"/>
        <v>192.5</v>
      </c>
      <c r="M23" s="50">
        <f t="shared" si="1"/>
        <v>2.6</v>
      </c>
      <c r="N23" s="102">
        <f t="shared" si="7"/>
        <v>26</v>
      </c>
      <c r="O23" s="102">
        <f t="shared" si="8"/>
        <v>162.6</v>
      </c>
      <c r="P23" s="102">
        <f t="shared" si="9"/>
        <v>3.9</v>
      </c>
      <c r="Q23" s="103">
        <f t="shared" si="10"/>
        <v>192.5</v>
      </c>
    </row>
    <row r="24" spans="1:17" s="56" customFormat="1">
      <c r="A24" s="217">
        <v>11</v>
      </c>
      <c r="B24" s="238"/>
      <c r="C24" s="224" t="s">
        <v>479</v>
      </c>
      <c r="D24" s="224" t="s">
        <v>480</v>
      </c>
      <c r="E24" s="219" t="s">
        <v>118</v>
      </c>
      <c r="F24" s="311">
        <v>1</v>
      </c>
      <c r="G24" s="240">
        <v>1.6</v>
      </c>
      <c r="H24" s="240">
        <v>10</v>
      </c>
      <c r="I24" s="694">
        <v>16</v>
      </c>
      <c r="J24" s="735">
        <v>280.8</v>
      </c>
      <c r="K24" s="694">
        <v>2.4</v>
      </c>
      <c r="L24" s="102">
        <f t="shared" si="6"/>
        <v>299.2</v>
      </c>
      <c r="M24" s="50">
        <f t="shared" si="1"/>
        <v>1.6</v>
      </c>
      <c r="N24" s="102">
        <f t="shared" si="7"/>
        <v>16</v>
      </c>
      <c r="O24" s="102">
        <f t="shared" si="8"/>
        <v>280.8</v>
      </c>
      <c r="P24" s="102">
        <f t="shared" si="9"/>
        <v>2.4</v>
      </c>
      <c r="Q24" s="103">
        <f t="shared" si="10"/>
        <v>299.2</v>
      </c>
    </row>
    <row r="25" spans="1:17" s="56" customFormat="1">
      <c r="A25" s="217">
        <v>12</v>
      </c>
      <c r="B25" s="238"/>
      <c r="C25" s="224" t="s">
        <v>481</v>
      </c>
      <c r="D25" s="224" t="s">
        <v>482</v>
      </c>
      <c r="E25" s="219" t="s">
        <v>118</v>
      </c>
      <c r="F25" s="311">
        <v>1</v>
      </c>
      <c r="G25" s="240">
        <v>2.4</v>
      </c>
      <c r="H25" s="240">
        <v>10</v>
      </c>
      <c r="I25" s="694">
        <v>24</v>
      </c>
      <c r="J25" s="735">
        <v>97.8</v>
      </c>
      <c r="K25" s="694">
        <v>3.5999999999999996</v>
      </c>
      <c r="L25" s="102">
        <f t="shared" si="6"/>
        <v>125.39999999999999</v>
      </c>
      <c r="M25" s="50">
        <f t="shared" si="1"/>
        <v>2.4</v>
      </c>
      <c r="N25" s="102">
        <f t="shared" si="7"/>
        <v>24</v>
      </c>
      <c r="O25" s="102">
        <f t="shared" si="8"/>
        <v>97.8</v>
      </c>
      <c r="P25" s="102">
        <f t="shared" si="9"/>
        <v>3.6</v>
      </c>
      <c r="Q25" s="103">
        <f t="shared" si="10"/>
        <v>125.39999999999999</v>
      </c>
    </row>
    <row r="26" spans="1:17" s="56" customFormat="1">
      <c r="A26" s="217">
        <v>13</v>
      </c>
      <c r="B26" s="238"/>
      <c r="C26" s="224" t="s">
        <v>483</v>
      </c>
      <c r="D26" s="224" t="s">
        <v>484</v>
      </c>
      <c r="E26" s="219" t="s">
        <v>118</v>
      </c>
      <c r="F26" s="311">
        <v>1</v>
      </c>
      <c r="G26" s="240">
        <v>1.6</v>
      </c>
      <c r="H26" s="240">
        <v>10</v>
      </c>
      <c r="I26" s="694">
        <v>16</v>
      </c>
      <c r="J26" s="735">
        <v>168</v>
      </c>
      <c r="K26" s="694">
        <v>2.4</v>
      </c>
      <c r="L26" s="102">
        <f t="shared" si="6"/>
        <v>186.4</v>
      </c>
      <c r="M26" s="50">
        <f t="shared" si="1"/>
        <v>1.6</v>
      </c>
      <c r="N26" s="102">
        <f t="shared" si="7"/>
        <v>16</v>
      </c>
      <c r="O26" s="102">
        <f t="shared" si="8"/>
        <v>168</v>
      </c>
      <c r="P26" s="102">
        <f t="shared" si="9"/>
        <v>2.4</v>
      </c>
      <c r="Q26" s="103">
        <f t="shared" si="10"/>
        <v>186.4</v>
      </c>
    </row>
    <row r="27" spans="1:17" s="56" customFormat="1">
      <c r="A27" s="217">
        <v>14</v>
      </c>
      <c r="B27" s="238"/>
      <c r="C27" s="224" t="s">
        <v>485</v>
      </c>
      <c r="D27" s="224" t="s">
        <v>486</v>
      </c>
      <c r="E27" s="219" t="s">
        <v>118</v>
      </c>
      <c r="F27" s="311">
        <v>1</v>
      </c>
      <c r="G27" s="240">
        <v>2.6</v>
      </c>
      <c r="H27" s="240">
        <v>10</v>
      </c>
      <c r="I27" s="694">
        <v>26</v>
      </c>
      <c r="J27" s="735">
        <v>162.6</v>
      </c>
      <c r="K27" s="694">
        <v>3.9</v>
      </c>
      <c r="L27" s="102">
        <f t="shared" si="6"/>
        <v>192.5</v>
      </c>
      <c r="M27" s="50">
        <f t="shared" si="1"/>
        <v>2.6</v>
      </c>
      <c r="N27" s="102">
        <f t="shared" si="7"/>
        <v>26</v>
      </c>
      <c r="O27" s="102">
        <f t="shared" si="8"/>
        <v>162.6</v>
      </c>
      <c r="P27" s="102">
        <f t="shared" si="9"/>
        <v>3.9</v>
      </c>
      <c r="Q27" s="103">
        <f t="shared" si="10"/>
        <v>192.5</v>
      </c>
    </row>
    <row r="28" spans="1:17" s="56" customFormat="1">
      <c r="A28" s="217">
        <v>15</v>
      </c>
      <c r="B28" s="238"/>
      <c r="C28" s="224" t="s">
        <v>487</v>
      </c>
      <c r="D28" s="224" t="s">
        <v>484</v>
      </c>
      <c r="E28" s="219" t="s">
        <v>118</v>
      </c>
      <c r="F28" s="311">
        <v>1</v>
      </c>
      <c r="G28" s="240">
        <v>1.6</v>
      </c>
      <c r="H28" s="240">
        <v>10</v>
      </c>
      <c r="I28" s="694">
        <v>16</v>
      </c>
      <c r="J28" s="735">
        <v>168</v>
      </c>
      <c r="K28" s="694">
        <v>2.4</v>
      </c>
      <c r="L28" s="102">
        <f t="shared" si="6"/>
        <v>186.4</v>
      </c>
      <c r="M28" s="50">
        <f t="shared" si="1"/>
        <v>1.6</v>
      </c>
      <c r="N28" s="102">
        <f t="shared" si="7"/>
        <v>16</v>
      </c>
      <c r="O28" s="102">
        <f t="shared" si="8"/>
        <v>168</v>
      </c>
      <c r="P28" s="102">
        <f t="shared" si="9"/>
        <v>2.4</v>
      </c>
      <c r="Q28" s="103">
        <f t="shared" si="10"/>
        <v>186.4</v>
      </c>
    </row>
    <row r="29" spans="1:17" s="56" customFormat="1">
      <c r="A29" s="217">
        <v>16</v>
      </c>
      <c r="B29" s="238"/>
      <c r="C29" s="224" t="s">
        <v>488</v>
      </c>
      <c r="D29" s="224" t="s">
        <v>489</v>
      </c>
      <c r="E29" s="219" t="s">
        <v>118</v>
      </c>
      <c r="F29" s="311">
        <v>3</v>
      </c>
      <c r="G29" s="240">
        <v>2.6</v>
      </c>
      <c r="H29" s="240">
        <v>10</v>
      </c>
      <c r="I29" s="694">
        <v>26</v>
      </c>
      <c r="J29" s="735">
        <v>27</v>
      </c>
      <c r="K29" s="694">
        <v>3.9</v>
      </c>
      <c r="L29" s="102">
        <f t="shared" si="6"/>
        <v>56.9</v>
      </c>
      <c r="M29" s="50">
        <f t="shared" si="1"/>
        <v>7.8</v>
      </c>
      <c r="N29" s="102">
        <f t="shared" si="7"/>
        <v>78</v>
      </c>
      <c r="O29" s="102">
        <f t="shared" si="8"/>
        <v>81</v>
      </c>
      <c r="P29" s="102">
        <f t="shared" si="9"/>
        <v>11.7</v>
      </c>
      <c r="Q29" s="103">
        <f t="shared" si="10"/>
        <v>170.7</v>
      </c>
    </row>
    <row r="30" spans="1:17" s="56" customFormat="1">
      <c r="A30" s="217">
        <v>17</v>
      </c>
      <c r="B30" s="238"/>
      <c r="C30" s="224" t="s">
        <v>490</v>
      </c>
      <c r="D30" s="224" t="s">
        <v>491</v>
      </c>
      <c r="E30" s="219" t="s">
        <v>118</v>
      </c>
      <c r="F30" s="311">
        <v>2</v>
      </c>
      <c r="G30" s="240">
        <v>2.6</v>
      </c>
      <c r="H30" s="240">
        <v>10</v>
      </c>
      <c r="I30" s="694">
        <v>26</v>
      </c>
      <c r="J30" s="735">
        <v>27</v>
      </c>
      <c r="K30" s="694">
        <v>3.9</v>
      </c>
      <c r="L30" s="102">
        <f t="shared" si="6"/>
        <v>56.9</v>
      </c>
      <c r="M30" s="50">
        <f t="shared" si="1"/>
        <v>5.2</v>
      </c>
      <c r="N30" s="102">
        <f t="shared" si="7"/>
        <v>52</v>
      </c>
      <c r="O30" s="102">
        <f t="shared" si="8"/>
        <v>54</v>
      </c>
      <c r="P30" s="102">
        <f t="shared" si="9"/>
        <v>7.8</v>
      </c>
      <c r="Q30" s="103">
        <f t="shared" si="10"/>
        <v>113.8</v>
      </c>
    </row>
    <row r="31" spans="1:17" s="56" customFormat="1">
      <c r="A31" s="217">
        <v>18</v>
      </c>
      <c r="B31" s="238"/>
      <c r="C31" s="224" t="s">
        <v>492</v>
      </c>
      <c r="D31" s="224" t="s">
        <v>493</v>
      </c>
      <c r="E31" s="219" t="s">
        <v>118</v>
      </c>
      <c r="F31" s="311">
        <v>1</v>
      </c>
      <c r="G31" s="240">
        <v>2.6</v>
      </c>
      <c r="H31" s="240">
        <v>10</v>
      </c>
      <c r="I31" s="694">
        <v>26</v>
      </c>
      <c r="J31" s="735">
        <v>58.8</v>
      </c>
      <c r="K31" s="694">
        <v>3.9</v>
      </c>
      <c r="L31" s="102">
        <f t="shared" si="6"/>
        <v>88.7</v>
      </c>
      <c r="M31" s="50">
        <f t="shared" si="1"/>
        <v>2.6</v>
      </c>
      <c r="N31" s="102">
        <f t="shared" si="7"/>
        <v>26</v>
      </c>
      <c r="O31" s="102">
        <f t="shared" si="8"/>
        <v>58.8</v>
      </c>
      <c r="P31" s="102">
        <f t="shared" si="9"/>
        <v>3.9</v>
      </c>
      <c r="Q31" s="103">
        <f t="shared" si="10"/>
        <v>88.7</v>
      </c>
    </row>
    <row r="32" spans="1:17" s="56" customFormat="1">
      <c r="A32" s="217">
        <v>19</v>
      </c>
      <c r="B32" s="238"/>
      <c r="C32" s="224" t="s">
        <v>494</v>
      </c>
      <c r="D32" s="224"/>
      <c r="E32" s="219" t="s">
        <v>118</v>
      </c>
      <c r="F32" s="311">
        <v>1</v>
      </c>
      <c r="G32" s="240">
        <v>1.8</v>
      </c>
      <c r="H32" s="240">
        <v>10</v>
      </c>
      <c r="I32" s="694">
        <v>18</v>
      </c>
      <c r="J32" s="735">
        <v>23.7</v>
      </c>
      <c r="K32" s="694">
        <v>2.6999999999999997</v>
      </c>
      <c r="L32" s="102">
        <f t="shared" si="6"/>
        <v>44.400000000000006</v>
      </c>
      <c r="M32" s="50">
        <f t="shared" si="1"/>
        <v>1.8</v>
      </c>
      <c r="N32" s="102">
        <f t="shared" si="7"/>
        <v>18</v>
      </c>
      <c r="O32" s="102">
        <f t="shared" si="8"/>
        <v>23.7</v>
      </c>
      <c r="P32" s="102">
        <f t="shared" si="9"/>
        <v>2.7</v>
      </c>
      <c r="Q32" s="103">
        <f t="shared" si="10"/>
        <v>44.400000000000006</v>
      </c>
    </row>
    <row r="33" spans="1:17" s="56" customFormat="1">
      <c r="A33" s="217">
        <v>20</v>
      </c>
      <c r="B33" s="238"/>
      <c r="C33" s="224" t="s">
        <v>495</v>
      </c>
      <c r="D33" s="224" t="s">
        <v>496</v>
      </c>
      <c r="E33" s="219" t="s">
        <v>118</v>
      </c>
      <c r="F33" s="311">
        <v>1</v>
      </c>
      <c r="G33" s="240">
        <v>6.4</v>
      </c>
      <c r="H33" s="240">
        <v>10</v>
      </c>
      <c r="I33" s="694">
        <v>64</v>
      </c>
      <c r="J33" s="735">
        <v>412.27799999999996</v>
      </c>
      <c r="K33" s="694">
        <v>9.6</v>
      </c>
      <c r="L33" s="102">
        <f t="shared" si="6"/>
        <v>485.87799999999999</v>
      </c>
      <c r="M33" s="50">
        <f t="shared" si="1"/>
        <v>6.4</v>
      </c>
      <c r="N33" s="102">
        <f t="shared" si="7"/>
        <v>64</v>
      </c>
      <c r="O33" s="102">
        <f t="shared" si="8"/>
        <v>412.28</v>
      </c>
      <c r="P33" s="102">
        <f t="shared" si="9"/>
        <v>9.6</v>
      </c>
      <c r="Q33" s="103">
        <f t="shared" si="10"/>
        <v>485.88</v>
      </c>
    </row>
    <row r="34" spans="1:17" s="56" customFormat="1">
      <c r="A34" s="217">
        <v>21</v>
      </c>
      <c r="B34" s="238"/>
      <c r="C34" s="224" t="s">
        <v>495</v>
      </c>
      <c r="D34" s="224" t="s">
        <v>497</v>
      </c>
      <c r="E34" s="219" t="s">
        <v>118</v>
      </c>
      <c r="F34" s="311">
        <v>1</v>
      </c>
      <c r="G34" s="240">
        <v>6.4</v>
      </c>
      <c r="H34" s="240">
        <v>10</v>
      </c>
      <c r="I34" s="694">
        <v>64</v>
      </c>
      <c r="J34" s="735">
        <v>417.52199999999999</v>
      </c>
      <c r="K34" s="694">
        <v>9.6</v>
      </c>
      <c r="L34" s="102">
        <f t="shared" si="6"/>
        <v>491.12200000000001</v>
      </c>
      <c r="M34" s="50">
        <f t="shared" si="1"/>
        <v>6.4</v>
      </c>
      <c r="N34" s="102">
        <f t="shared" si="7"/>
        <v>64</v>
      </c>
      <c r="O34" s="102">
        <f t="shared" si="8"/>
        <v>417.52</v>
      </c>
      <c r="P34" s="102">
        <f t="shared" si="9"/>
        <v>9.6</v>
      </c>
      <c r="Q34" s="103">
        <f t="shared" si="10"/>
        <v>491.12</v>
      </c>
    </row>
    <row r="35" spans="1:17" s="56" customFormat="1">
      <c r="A35" s="217">
        <v>22</v>
      </c>
      <c r="B35" s="238"/>
      <c r="C35" s="224" t="s">
        <v>495</v>
      </c>
      <c r="D35" s="224" t="s">
        <v>498</v>
      </c>
      <c r="E35" s="219" t="s">
        <v>118</v>
      </c>
      <c r="F35" s="311">
        <v>1</v>
      </c>
      <c r="G35" s="240">
        <v>6.4</v>
      </c>
      <c r="H35" s="240">
        <v>10</v>
      </c>
      <c r="I35" s="694">
        <v>64</v>
      </c>
      <c r="J35" s="735">
        <v>75.474000000000004</v>
      </c>
      <c r="K35" s="694">
        <v>9.6</v>
      </c>
      <c r="L35" s="102">
        <f t="shared" si="6"/>
        <v>149.07399999999998</v>
      </c>
      <c r="M35" s="50">
        <f t="shared" si="1"/>
        <v>6.4</v>
      </c>
      <c r="N35" s="102">
        <f t="shared" si="7"/>
        <v>64</v>
      </c>
      <c r="O35" s="102">
        <f t="shared" si="8"/>
        <v>75.47</v>
      </c>
      <c r="P35" s="102">
        <f t="shared" si="9"/>
        <v>9.6</v>
      </c>
      <c r="Q35" s="103">
        <f t="shared" si="10"/>
        <v>149.07</v>
      </c>
    </row>
    <row r="36" spans="1:17" s="56" customFormat="1">
      <c r="A36" s="217">
        <v>23</v>
      </c>
      <c r="B36" s="238"/>
      <c r="C36" s="224" t="s">
        <v>499</v>
      </c>
      <c r="D36" s="224" t="s">
        <v>500</v>
      </c>
      <c r="E36" s="219" t="s">
        <v>118</v>
      </c>
      <c r="F36" s="311">
        <v>1</v>
      </c>
      <c r="G36" s="240">
        <v>6.4</v>
      </c>
      <c r="H36" s="240">
        <v>10</v>
      </c>
      <c r="I36" s="694">
        <v>64</v>
      </c>
      <c r="J36" s="735">
        <v>592.24800000000005</v>
      </c>
      <c r="K36" s="694">
        <v>9.6</v>
      </c>
      <c r="L36" s="102">
        <f t="shared" si="6"/>
        <v>665.84800000000007</v>
      </c>
      <c r="M36" s="50">
        <f t="shared" si="1"/>
        <v>6.4</v>
      </c>
      <c r="N36" s="102">
        <f t="shared" si="7"/>
        <v>64</v>
      </c>
      <c r="O36" s="102">
        <f t="shared" si="8"/>
        <v>592.25</v>
      </c>
      <c r="P36" s="102">
        <f t="shared" si="9"/>
        <v>9.6</v>
      </c>
      <c r="Q36" s="103">
        <f t="shared" si="10"/>
        <v>665.85</v>
      </c>
    </row>
    <row r="37" spans="1:17" s="56" customFormat="1">
      <c r="A37" s="217">
        <v>24</v>
      </c>
      <c r="B37" s="238"/>
      <c r="C37" s="224" t="s">
        <v>501</v>
      </c>
      <c r="D37" s="224" t="s">
        <v>259</v>
      </c>
      <c r="E37" s="219" t="s">
        <v>118</v>
      </c>
      <c r="F37" s="311">
        <v>1</v>
      </c>
      <c r="G37" s="240">
        <v>0.7</v>
      </c>
      <c r="H37" s="240">
        <v>10</v>
      </c>
      <c r="I37" s="694">
        <v>21</v>
      </c>
      <c r="J37" s="735">
        <v>117.96</v>
      </c>
      <c r="K37" s="694">
        <v>3.15</v>
      </c>
      <c r="L37" s="102">
        <f t="shared" si="6"/>
        <v>142.10999999999999</v>
      </c>
      <c r="M37" s="50">
        <f t="shared" si="1"/>
        <v>0.7</v>
      </c>
      <c r="N37" s="102">
        <f t="shared" si="7"/>
        <v>21</v>
      </c>
      <c r="O37" s="102">
        <f t="shared" si="8"/>
        <v>117.96</v>
      </c>
      <c r="P37" s="102">
        <f t="shared" si="9"/>
        <v>3.15</v>
      </c>
      <c r="Q37" s="103">
        <f t="shared" si="10"/>
        <v>142.10999999999999</v>
      </c>
    </row>
    <row r="38" spans="1:17" s="56" customFormat="1">
      <c r="A38" s="217">
        <v>25</v>
      </c>
      <c r="B38" s="238"/>
      <c r="C38" s="224" t="s">
        <v>501</v>
      </c>
      <c r="D38" s="224" t="s">
        <v>261</v>
      </c>
      <c r="E38" s="219" t="s">
        <v>118</v>
      </c>
      <c r="F38" s="311">
        <v>1</v>
      </c>
      <c r="G38" s="240">
        <v>0.7</v>
      </c>
      <c r="H38" s="240">
        <v>10</v>
      </c>
      <c r="I38" s="694">
        <v>21</v>
      </c>
      <c r="J38" s="735">
        <v>185.05799999999999</v>
      </c>
      <c r="K38" s="694">
        <v>3.15</v>
      </c>
      <c r="L38" s="102">
        <f t="shared" si="6"/>
        <v>209.208</v>
      </c>
      <c r="M38" s="50">
        <f t="shared" si="1"/>
        <v>0.7</v>
      </c>
      <c r="N38" s="102">
        <f t="shared" si="7"/>
        <v>21</v>
      </c>
      <c r="O38" s="102">
        <f t="shared" si="8"/>
        <v>185.06</v>
      </c>
      <c r="P38" s="102">
        <f t="shared" si="9"/>
        <v>3.15</v>
      </c>
      <c r="Q38" s="103">
        <f t="shared" si="10"/>
        <v>209.21</v>
      </c>
    </row>
    <row r="39" spans="1:17" s="56" customFormat="1">
      <c r="A39" s="217">
        <v>26</v>
      </c>
      <c r="B39" s="238"/>
      <c r="C39" s="224" t="s">
        <v>502</v>
      </c>
      <c r="D39" s="224" t="s">
        <v>503</v>
      </c>
      <c r="E39" s="219" t="s">
        <v>118</v>
      </c>
      <c r="F39" s="311">
        <v>1</v>
      </c>
      <c r="G39" s="240">
        <v>2.1</v>
      </c>
      <c r="H39" s="240">
        <v>10</v>
      </c>
      <c r="I39" s="694">
        <v>21</v>
      </c>
      <c r="J39" s="694">
        <v>29.83</v>
      </c>
      <c r="K39" s="694">
        <v>3.15</v>
      </c>
      <c r="L39" s="102">
        <f t="shared" si="6"/>
        <v>53.98</v>
      </c>
      <c r="M39" s="50">
        <f t="shared" si="1"/>
        <v>2.1</v>
      </c>
      <c r="N39" s="102">
        <f t="shared" si="7"/>
        <v>21</v>
      </c>
      <c r="O39" s="102">
        <f t="shared" si="8"/>
        <v>29.83</v>
      </c>
      <c r="P39" s="102">
        <f t="shared" si="9"/>
        <v>3.15</v>
      </c>
      <c r="Q39" s="103">
        <f t="shared" si="10"/>
        <v>53.98</v>
      </c>
    </row>
    <row r="40" spans="1:17" s="56" customFormat="1">
      <c r="A40" s="217">
        <v>27</v>
      </c>
      <c r="B40" s="238"/>
      <c r="C40" s="224" t="s">
        <v>502</v>
      </c>
      <c r="D40" s="224" t="s">
        <v>504</v>
      </c>
      <c r="E40" s="219" t="s">
        <v>118</v>
      </c>
      <c r="F40" s="311">
        <v>1</v>
      </c>
      <c r="G40" s="240">
        <v>2.1</v>
      </c>
      <c r="H40" s="240">
        <v>10</v>
      </c>
      <c r="I40" s="694">
        <v>21</v>
      </c>
      <c r="J40" s="694">
        <v>86.23</v>
      </c>
      <c r="K40" s="694">
        <v>3.15</v>
      </c>
      <c r="L40" s="102">
        <f t="shared" si="6"/>
        <v>110.38000000000001</v>
      </c>
      <c r="M40" s="50">
        <f t="shared" si="1"/>
        <v>2.1</v>
      </c>
      <c r="N40" s="102">
        <f t="shared" si="7"/>
        <v>21</v>
      </c>
      <c r="O40" s="102">
        <f t="shared" si="8"/>
        <v>86.23</v>
      </c>
      <c r="P40" s="102">
        <f t="shared" si="9"/>
        <v>3.15</v>
      </c>
      <c r="Q40" s="103">
        <f t="shared" si="10"/>
        <v>110.38000000000001</v>
      </c>
    </row>
    <row r="41" spans="1:17" s="56" customFormat="1">
      <c r="A41" s="217">
        <v>28</v>
      </c>
      <c r="B41" s="238"/>
      <c r="C41" s="224" t="s">
        <v>505</v>
      </c>
      <c r="D41" s="224" t="s">
        <v>506</v>
      </c>
      <c r="E41" s="219" t="s">
        <v>118</v>
      </c>
      <c r="F41" s="311">
        <v>2</v>
      </c>
      <c r="G41" s="240">
        <v>0.65</v>
      </c>
      <c r="H41" s="240">
        <v>10</v>
      </c>
      <c r="I41" s="694">
        <v>6.5</v>
      </c>
      <c r="J41" s="694">
        <v>5.92</v>
      </c>
      <c r="K41" s="694">
        <v>0.97499999999999998</v>
      </c>
      <c r="L41" s="102">
        <f t="shared" si="6"/>
        <v>13.395</v>
      </c>
      <c r="M41" s="50">
        <f t="shared" si="1"/>
        <v>1.3</v>
      </c>
      <c r="N41" s="102">
        <f t="shared" si="7"/>
        <v>13</v>
      </c>
      <c r="O41" s="102">
        <f t="shared" si="8"/>
        <v>11.84</v>
      </c>
      <c r="P41" s="102">
        <f t="shared" si="9"/>
        <v>1.95</v>
      </c>
      <c r="Q41" s="103">
        <f t="shared" si="10"/>
        <v>26.79</v>
      </c>
    </row>
    <row r="42" spans="1:17" s="56" customFormat="1">
      <c r="A42" s="217">
        <v>29</v>
      </c>
      <c r="B42" s="238"/>
      <c r="C42" s="224" t="s">
        <v>505</v>
      </c>
      <c r="D42" s="224" t="s">
        <v>507</v>
      </c>
      <c r="E42" s="219" t="s">
        <v>118</v>
      </c>
      <c r="F42" s="311">
        <v>1</v>
      </c>
      <c r="G42" s="240">
        <v>0.65</v>
      </c>
      <c r="H42" s="240">
        <v>10</v>
      </c>
      <c r="I42" s="694">
        <v>6.5</v>
      </c>
      <c r="J42" s="694">
        <v>7.34</v>
      </c>
      <c r="K42" s="694">
        <v>0.97499999999999998</v>
      </c>
      <c r="L42" s="102">
        <f t="shared" si="6"/>
        <v>14.815</v>
      </c>
      <c r="M42" s="50">
        <f t="shared" si="1"/>
        <v>0.65</v>
      </c>
      <c r="N42" s="102">
        <f t="shared" si="7"/>
        <v>6.5</v>
      </c>
      <c r="O42" s="102">
        <f t="shared" si="8"/>
        <v>7.34</v>
      </c>
      <c r="P42" s="102">
        <f t="shared" si="9"/>
        <v>0.98</v>
      </c>
      <c r="Q42" s="103">
        <f t="shared" si="10"/>
        <v>14.82</v>
      </c>
    </row>
    <row r="43" spans="1:17" s="56" customFormat="1">
      <c r="A43" s="217">
        <v>30</v>
      </c>
      <c r="B43" s="238"/>
      <c r="C43" s="224" t="s">
        <v>508</v>
      </c>
      <c r="D43" s="224" t="s">
        <v>509</v>
      </c>
      <c r="E43" s="219" t="s">
        <v>118</v>
      </c>
      <c r="F43" s="311">
        <v>1</v>
      </c>
      <c r="G43" s="240">
        <v>0.65</v>
      </c>
      <c r="H43" s="240">
        <v>10</v>
      </c>
      <c r="I43" s="694">
        <v>6.5</v>
      </c>
      <c r="J43" s="694">
        <v>16.93</v>
      </c>
      <c r="K43" s="694">
        <v>0.97499999999999998</v>
      </c>
      <c r="L43" s="102">
        <f t="shared" si="6"/>
        <v>24.405000000000001</v>
      </c>
      <c r="M43" s="50">
        <f t="shared" si="1"/>
        <v>0.65</v>
      </c>
      <c r="N43" s="102">
        <f t="shared" si="7"/>
        <v>6.5</v>
      </c>
      <c r="O43" s="102">
        <f t="shared" si="8"/>
        <v>16.93</v>
      </c>
      <c r="P43" s="102">
        <f t="shared" si="9"/>
        <v>0.98</v>
      </c>
      <c r="Q43" s="103">
        <f t="shared" si="10"/>
        <v>24.41</v>
      </c>
    </row>
    <row r="44" spans="1:17" s="56" customFormat="1">
      <c r="A44" s="217">
        <v>31</v>
      </c>
      <c r="B44" s="238"/>
      <c r="C44" s="224" t="s">
        <v>510</v>
      </c>
      <c r="D44" s="224" t="s">
        <v>511</v>
      </c>
      <c r="E44" s="219" t="s">
        <v>118</v>
      </c>
      <c r="F44" s="311">
        <v>1</v>
      </c>
      <c r="G44" s="240">
        <v>7.8</v>
      </c>
      <c r="H44" s="240">
        <v>10</v>
      </c>
      <c r="I44" s="694">
        <v>78</v>
      </c>
      <c r="J44" s="694">
        <v>148.86000000000001</v>
      </c>
      <c r="K44" s="694">
        <v>11.7</v>
      </c>
      <c r="L44" s="102">
        <f t="shared" si="6"/>
        <v>238.56</v>
      </c>
      <c r="M44" s="50">
        <f t="shared" si="1"/>
        <v>7.8</v>
      </c>
      <c r="N44" s="102">
        <f t="shared" si="7"/>
        <v>78</v>
      </c>
      <c r="O44" s="102">
        <f t="shared" si="8"/>
        <v>148.86000000000001</v>
      </c>
      <c r="P44" s="102">
        <f t="shared" si="9"/>
        <v>11.7</v>
      </c>
      <c r="Q44" s="103">
        <f t="shared" si="10"/>
        <v>238.56</v>
      </c>
    </row>
    <row r="45" spans="1:17" s="56" customFormat="1">
      <c r="A45" s="217">
        <v>32</v>
      </c>
      <c r="B45" s="238"/>
      <c r="C45" s="224" t="s">
        <v>512</v>
      </c>
      <c r="D45" s="224" t="s">
        <v>513</v>
      </c>
      <c r="E45" s="219" t="s">
        <v>118</v>
      </c>
      <c r="F45" s="311">
        <v>1</v>
      </c>
      <c r="G45" s="240">
        <v>7</v>
      </c>
      <c r="H45" s="240">
        <v>10</v>
      </c>
      <c r="I45" s="694">
        <v>70</v>
      </c>
      <c r="J45" s="694">
        <v>138.13999999999999</v>
      </c>
      <c r="K45" s="694">
        <v>10.5</v>
      </c>
      <c r="L45" s="102">
        <f t="shared" si="6"/>
        <v>218.64</v>
      </c>
      <c r="M45" s="50">
        <f t="shared" si="1"/>
        <v>7</v>
      </c>
      <c r="N45" s="102">
        <f t="shared" si="7"/>
        <v>70</v>
      </c>
      <c r="O45" s="102">
        <f t="shared" si="8"/>
        <v>138.13999999999999</v>
      </c>
      <c r="P45" s="102">
        <f t="shared" si="9"/>
        <v>10.5</v>
      </c>
      <c r="Q45" s="103">
        <f t="shared" si="10"/>
        <v>218.64</v>
      </c>
    </row>
    <row r="46" spans="1:17" s="56" customFormat="1">
      <c r="A46" s="217">
        <v>33</v>
      </c>
      <c r="B46" s="238"/>
      <c r="C46" s="224" t="s">
        <v>514</v>
      </c>
      <c r="D46" s="224" t="s">
        <v>511</v>
      </c>
      <c r="E46" s="219" t="s">
        <v>118</v>
      </c>
      <c r="F46" s="311">
        <v>1</v>
      </c>
      <c r="G46" s="240">
        <v>7</v>
      </c>
      <c r="H46" s="240">
        <v>10</v>
      </c>
      <c r="I46" s="694">
        <v>70</v>
      </c>
      <c r="J46" s="694">
        <v>156.21</v>
      </c>
      <c r="K46" s="694">
        <v>10.5</v>
      </c>
      <c r="L46" s="102">
        <f t="shared" ref="L46:L77" si="11">SUM(I46:K46)</f>
        <v>236.71</v>
      </c>
      <c r="M46" s="50">
        <f t="shared" si="1"/>
        <v>7</v>
      </c>
      <c r="N46" s="102">
        <f t="shared" ref="N46:N77" si="12">ROUND(I46*F46,2)</f>
        <v>70</v>
      </c>
      <c r="O46" s="102">
        <f t="shared" ref="O46:O77" si="13">ROUND(J46*F46,2)</f>
        <v>156.21</v>
      </c>
      <c r="P46" s="102">
        <f t="shared" ref="P46:P77" si="14">ROUND(K46*F46,2)</f>
        <v>10.5</v>
      </c>
      <c r="Q46" s="103">
        <f t="shared" ref="Q46:Q77" si="15">SUM(N46:P46)</f>
        <v>236.71</v>
      </c>
    </row>
    <row r="47" spans="1:17" s="56" customFormat="1">
      <c r="A47" s="217">
        <v>34</v>
      </c>
      <c r="B47" s="238"/>
      <c r="C47" s="224" t="s">
        <v>515</v>
      </c>
      <c r="D47" s="224" t="s">
        <v>516</v>
      </c>
      <c r="E47" s="219" t="s">
        <v>118</v>
      </c>
      <c r="F47" s="311">
        <v>2</v>
      </c>
      <c r="G47" s="240">
        <v>0.65</v>
      </c>
      <c r="H47" s="240">
        <v>10</v>
      </c>
      <c r="I47" s="694">
        <v>6.5</v>
      </c>
      <c r="J47" s="694">
        <v>29.01</v>
      </c>
      <c r="K47" s="694">
        <v>0.97499999999999998</v>
      </c>
      <c r="L47" s="102">
        <f t="shared" si="11"/>
        <v>36.485000000000007</v>
      </c>
      <c r="M47" s="50">
        <f t="shared" si="1"/>
        <v>1.3</v>
      </c>
      <c r="N47" s="102">
        <f t="shared" si="12"/>
        <v>13</v>
      </c>
      <c r="O47" s="102">
        <f t="shared" si="13"/>
        <v>58.02</v>
      </c>
      <c r="P47" s="102">
        <f t="shared" si="14"/>
        <v>1.95</v>
      </c>
      <c r="Q47" s="103">
        <f t="shared" si="15"/>
        <v>72.970000000000013</v>
      </c>
    </row>
    <row r="48" spans="1:17" s="56" customFormat="1">
      <c r="A48" s="217">
        <v>35</v>
      </c>
      <c r="B48" s="238"/>
      <c r="C48" s="224" t="s">
        <v>515</v>
      </c>
      <c r="D48" s="224" t="s">
        <v>517</v>
      </c>
      <c r="E48" s="219" t="s">
        <v>118</v>
      </c>
      <c r="F48" s="311">
        <v>2</v>
      </c>
      <c r="G48" s="240">
        <v>0.9</v>
      </c>
      <c r="H48" s="240">
        <v>10</v>
      </c>
      <c r="I48" s="694">
        <v>9</v>
      </c>
      <c r="J48" s="694">
        <v>41.59</v>
      </c>
      <c r="K48" s="694">
        <v>1.3499999999999999</v>
      </c>
      <c r="L48" s="102">
        <f t="shared" si="11"/>
        <v>51.940000000000005</v>
      </c>
      <c r="M48" s="50">
        <f t="shared" si="1"/>
        <v>1.8</v>
      </c>
      <c r="N48" s="102">
        <f t="shared" si="12"/>
        <v>18</v>
      </c>
      <c r="O48" s="102">
        <f t="shared" si="13"/>
        <v>83.18</v>
      </c>
      <c r="P48" s="102">
        <f t="shared" si="14"/>
        <v>2.7</v>
      </c>
      <c r="Q48" s="103">
        <f t="shared" si="15"/>
        <v>103.88000000000001</v>
      </c>
    </row>
    <row r="49" spans="1:17" s="56" customFormat="1">
      <c r="A49" s="217">
        <v>36</v>
      </c>
      <c r="B49" s="238"/>
      <c r="C49" s="224" t="s">
        <v>515</v>
      </c>
      <c r="D49" s="224" t="s">
        <v>518</v>
      </c>
      <c r="E49" s="219" t="s">
        <v>118</v>
      </c>
      <c r="F49" s="311">
        <v>2</v>
      </c>
      <c r="G49" s="240">
        <v>0.9</v>
      </c>
      <c r="H49" s="240">
        <v>10</v>
      </c>
      <c r="I49" s="694">
        <v>9</v>
      </c>
      <c r="J49" s="694">
        <v>65.569999999999993</v>
      </c>
      <c r="K49" s="694">
        <v>1.3499999999999999</v>
      </c>
      <c r="L49" s="102">
        <f t="shared" si="11"/>
        <v>75.919999999999987</v>
      </c>
      <c r="M49" s="50">
        <f t="shared" si="1"/>
        <v>1.8</v>
      </c>
      <c r="N49" s="102">
        <f t="shared" si="12"/>
        <v>18</v>
      </c>
      <c r="O49" s="102">
        <f t="shared" si="13"/>
        <v>131.13999999999999</v>
      </c>
      <c r="P49" s="102">
        <f t="shared" si="14"/>
        <v>2.7</v>
      </c>
      <c r="Q49" s="103">
        <f t="shared" si="15"/>
        <v>151.83999999999997</v>
      </c>
    </row>
    <row r="50" spans="1:17" s="56" customFormat="1">
      <c r="A50" s="217">
        <v>37</v>
      </c>
      <c r="B50" s="238"/>
      <c r="C50" s="224" t="s">
        <v>515</v>
      </c>
      <c r="D50" s="224" t="s">
        <v>519</v>
      </c>
      <c r="E50" s="219" t="s">
        <v>118</v>
      </c>
      <c r="F50" s="311">
        <v>2</v>
      </c>
      <c r="G50" s="240">
        <v>1.4</v>
      </c>
      <c r="H50" s="240">
        <v>10</v>
      </c>
      <c r="I50" s="694">
        <v>14</v>
      </c>
      <c r="J50" s="694">
        <v>96.11</v>
      </c>
      <c r="K50" s="694">
        <v>2.1</v>
      </c>
      <c r="L50" s="102">
        <f t="shared" si="11"/>
        <v>112.21</v>
      </c>
      <c r="M50" s="50">
        <f t="shared" si="1"/>
        <v>2.8</v>
      </c>
      <c r="N50" s="102">
        <f t="shared" si="12"/>
        <v>28</v>
      </c>
      <c r="O50" s="102">
        <f t="shared" si="13"/>
        <v>192.22</v>
      </c>
      <c r="P50" s="102">
        <f t="shared" si="14"/>
        <v>4.2</v>
      </c>
      <c r="Q50" s="103">
        <f t="shared" si="15"/>
        <v>224.42</v>
      </c>
    </row>
    <row r="51" spans="1:17" s="56" customFormat="1">
      <c r="A51" s="217">
        <v>38</v>
      </c>
      <c r="B51" s="238"/>
      <c r="C51" s="224" t="s">
        <v>520</v>
      </c>
      <c r="D51" s="224" t="s">
        <v>426</v>
      </c>
      <c r="E51" s="219" t="s">
        <v>118</v>
      </c>
      <c r="F51" s="311">
        <v>5</v>
      </c>
      <c r="G51" s="240">
        <v>0.65</v>
      </c>
      <c r="H51" s="240">
        <v>10</v>
      </c>
      <c r="I51" s="694">
        <v>6.5</v>
      </c>
      <c r="J51" s="694">
        <v>3.17</v>
      </c>
      <c r="K51" s="694">
        <v>0.97499999999999998</v>
      </c>
      <c r="L51" s="102">
        <f t="shared" si="11"/>
        <v>10.645</v>
      </c>
      <c r="M51" s="50">
        <f t="shared" si="1"/>
        <v>3.25</v>
      </c>
      <c r="N51" s="102">
        <f t="shared" si="12"/>
        <v>32.5</v>
      </c>
      <c r="O51" s="102">
        <f t="shared" si="13"/>
        <v>15.85</v>
      </c>
      <c r="P51" s="102">
        <f t="shared" si="14"/>
        <v>4.88</v>
      </c>
      <c r="Q51" s="103">
        <f t="shared" si="15"/>
        <v>53.230000000000004</v>
      </c>
    </row>
    <row r="52" spans="1:17" s="56" customFormat="1">
      <c r="A52" s="217">
        <v>39</v>
      </c>
      <c r="B52" s="238"/>
      <c r="C52" s="224" t="s">
        <v>520</v>
      </c>
      <c r="D52" s="224" t="s">
        <v>521</v>
      </c>
      <c r="E52" s="219" t="s">
        <v>118</v>
      </c>
      <c r="F52" s="311">
        <v>3</v>
      </c>
      <c r="G52" s="240">
        <v>0.65</v>
      </c>
      <c r="H52" s="240">
        <v>10</v>
      </c>
      <c r="I52" s="694">
        <v>6.5</v>
      </c>
      <c r="J52" s="694">
        <v>5.04</v>
      </c>
      <c r="K52" s="694">
        <v>0.97499999999999998</v>
      </c>
      <c r="L52" s="102">
        <f t="shared" si="11"/>
        <v>12.514999999999999</v>
      </c>
      <c r="M52" s="50">
        <f t="shared" si="1"/>
        <v>1.95</v>
      </c>
      <c r="N52" s="102">
        <f t="shared" si="12"/>
        <v>19.5</v>
      </c>
      <c r="O52" s="102">
        <f t="shared" si="13"/>
        <v>15.12</v>
      </c>
      <c r="P52" s="102">
        <f t="shared" si="14"/>
        <v>2.93</v>
      </c>
      <c r="Q52" s="103">
        <f t="shared" si="15"/>
        <v>37.549999999999997</v>
      </c>
    </row>
    <row r="53" spans="1:17" s="56" customFormat="1">
      <c r="A53" s="217">
        <v>40</v>
      </c>
      <c r="B53" s="238"/>
      <c r="C53" s="224" t="s">
        <v>420</v>
      </c>
      <c r="D53" s="224" t="s">
        <v>522</v>
      </c>
      <c r="E53" s="219" t="s">
        <v>118</v>
      </c>
      <c r="F53" s="311">
        <v>3</v>
      </c>
      <c r="G53" s="240">
        <v>0.65</v>
      </c>
      <c r="H53" s="240">
        <v>10</v>
      </c>
      <c r="I53" s="694">
        <v>6.5</v>
      </c>
      <c r="J53" s="694">
        <v>8.39</v>
      </c>
      <c r="K53" s="694">
        <v>0.97499999999999998</v>
      </c>
      <c r="L53" s="102">
        <f t="shared" si="11"/>
        <v>15.865</v>
      </c>
      <c r="M53" s="50">
        <f t="shared" si="1"/>
        <v>1.95</v>
      </c>
      <c r="N53" s="102">
        <f t="shared" si="12"/>
        <v>19.5</v>
      </c>
      <c r="O53" s="102">
        <f t="shared" si="13"/>
        <v>25.17</v>
      </c>
      <c r="P53" s="102">
        <f t="shared" si="14"/>
        <v>2.93</v>
      </c>
      <c r="Q53" s="103">
        <f t="shared" si="15"/>
        <v>47.6</v>
      </c>
    </row>
    <row r="54" spans="1:17" s="56" customFormat="1">
      <c r="A54" s="217">
        <v>41</v>
      </c>
      <c r="B54" s="238"/>
      <c r="C54" s="224" t="s">
        <v>420</v>
      </c>
      <c r="D54" s="224" t="s">
        <v>523</v>
      </c>
      <c r="E54" s="219" t="s">
        <v>118</v>
      </c>
      <c r="F54" s="311">
        <v>8</v>
      </c>
      <c r="G54" s="240">
        <v>0.8</v>
      </c>
      <c r="H54" s="240">
        <v>10</v>
      </c>
      <c r="I54" s="694">
        <v>8</v>
      </c>
      <c r="J54" s="694">
        <v>29.21</v>
      </c>
      <c r="K54" s="694">
        <v>1.2</v>
      </c>
      <c r="L54" s="102">
        <f t="shared" si="11"/>
        <v>38.410000000000004</v>
      </c>
      <c r="M54" s="50">
        <f t="shared" si="1"/>
        <v>6.4</v>
      </c>
      <c r="N54" s="102">
        <f t="shared" si="12"/>
        <v>64</v>
      </c>
      <c r="O54" s="102">
        <f t="shared" si="13"/>
        <v>233.68</v>
      </c>
      <c r="P54" s="102">
        <f t="shared" si="14"/>
        <v>9.6</v>
      </c>
      <c r="Q54" s="103">
        <f t="shared" si="15"/>
        <v>307.28000000000003</v>
      </c>
    </row>
    <row r="55" spans="1:17" s="56" customFormat="1">
      <c r="A55" s="217">
        <v>42</v>
      </c>
      <c r="B55" s="238"/>
      <c r="C55" s="224" t="s">
        <v>420</v>
      </c>
      <c r="D55" s="224" t="s">
        <v>421</v>
      </c>
      <c r="E55" s="219" t="s">
        <v>118</v>
      </c>
      <c r="F55" s="311">
        <v>5</v>
      </c>
      <c r="G55" s="240">
        <v>1.4</v>
      </c>
      <c r="H55" s="240">
        <v>10</v>
      </c>
      <c r="I55" s="694">
        <v>14</v>
      </c>
      <c r="J55" s="694">
        <v>41.59</v>
      </c>
      <c r="K55" s="694">
        <v>2.1</v>
      </c>
      <c r="L55" s="102">
        <f t="shared" si="11"/>
        <v>57.690000000000005</v>
      </c>
      <c r="M55" s="50">
        <f t="shared" si="1"/>
        <v>7</v>
      </c>
      <c r="N55" s="102">
        <f t="shared" si="12"/>
        <v>70</v>
      </c>
      <c r="O55" s="102">
        <f t="shared" si="13"/>
        <v>207.95</v>
      </c>
      <c r="P55" s="102">
        <f t="shared" si="14"/>
        <v>10.5</v>
      </c>
      <c r="Q55" s="103">
        <f t="shared" si="15"/>
        <v>288.45</v>
      </c>
    </row>
    <row r="56" spans="1:17" s="56" customFormat="1">
      <c r="A56" s="217">
        <v>43</v>
      </c>
      <c r="B56" s="238"/>
      <c r="C56" s="224" t="s">
        <v>420</v>
      </c>
      <c r="D56" s="224" t="s">
        <v>430</v>
      </c>
      <c r="E56" s="219" t="s">
        <v>118</v>
      </c>
      <c r="F56" s="311">
        <v>2</v>
      </c>
      <c r="G56" s="240">
        <v>1.4</v>
      </c>
      <c r="H56" s="240">
        <v>10</v>
      </c>
      <c r="I56" s="694">
        <v>14</v>
      </c>
      <c r="J56" s="694">
        <v>99.48</v>
      </c>
      <c r="K56" s="694">
        <v>2.1</v>
      </c>
      <c r="L56" s="102">
        <f t="shared" si="11"/>
        <v>115.58</v>
      </c>
      <c r="M56" s="50">
        <f t="shared" si="1"/>
        <v>2.8</v>
      </c>
      <c r="N56" s="102">
        <f t="shared" si="12"/>
        <v>28</v>
      </c>
      <c r="O56" s="102">
        <f t="shared" si="13"/>
        <v>198.96</v>
      </c>
      <c r="P56" s="102">
        <f t="shared" si="14"/>
        <v>4.2</v>
      </c>
      <c r="Q56" s="103">
        <f t="shared" si="15"/>
        <v>231.16</v>
      </c>
    </row>
    <row r="57" spans="1:17" s="56" customFormat="1">
      <c r="A57" s="217">
        <v>44</v>
      </c>
      <c r="B57" s="238"/>
      <c r="C57" s="224" t="s">
        <v>276</v>
      </c>
      <c r="D57" s="224" t="s">
        <v>426</v>
      </c>
      <c r="E57" s="219" t="s">
        <v>118</v>
      </c>
      <c r="F57" s="311">
        <v>14</v>
      </c>
      <c r="G57" s="240">
        <v>0.65</v>
      </c>
      <c r="H57" s="240">
        <v>10</v>
      </c>
      <c r="I57" s="694">
        <v>6.5</v>
      </c>
      <c r="J57" s="694">
        <v>20.36</v>
      </c>
      <c r="K57" s="694">
        <v>1.018</v>
      </c>
      <c r="L57" s="102">
        <f t="shared" si="11"/>
        <v>27.878</v>
      </c>
      <c r="M57" s="50">
        <f t="shared" si="1"/>
        <v>9.1</v>
      </c>
      <c r="N57" s="102">
        <f t="shared" si="12"/>
        <v>91</v>
      </c>
      <c r="O57" s="102">
        <f t="shared" si="13"/>
        <v>285.04000000000002</v>
      </c>
      <c r="P57" s="102">
        <f t="shared" si="14"/>
        <v>14.25</v>
      </c>
      <c r="Q57" s="103">
        <f t="shared" si="15"/>
        <v>390.29</v>
      </c>
    </row>
    <row r="58" spans="1:17" s="56" customFormat="1">
      <c r="A58" s="217">
        <v>45</v>
      </c>
      <c r="B58" s="238"/>
      <c r="C58" s="224" t="s">
        <v>524</v>
      </c>
      <c r="D58" s="224" t="s">
        <v>426</v>
      </c>
      <c r="E58" s="219" t="s">
        <v>118</v>
      </c>
      <c r="F58" s="311">
        <v>2</v>
      </c>
      <c r="G58" s="240">
        <v>0.65</v>
      </c>
      <c r="H58" s="240">
        <v>10</v>
      </c>
      <c r="I58" s="694">
        <v>6.5</v>
      </c>
      <c r="J58" s="694">
        <v>4.03</v>
      </c>
      <c r="K58" s="694">
        <v>0.97499999999999998</v>
      </c>
      <c r="L58" s="102">
        <f t="shared" si="11"/>
        <v>11.505000000000001</v>
      </c>
      <c r="M58" s="50">
        <f t="shared" si="1"/>
        <v>1.3</v>
      </c>
      <c r="N58" s="102">
        <f t="shared" si="12"/>
        <v>13</v>
      </c>
      <c r="O58" s="102">
        <f t="shared" si="13"/>
        <v>8.06</v>
      </c>
      <c r="P58" s="102">
        <f t="shared" si="14"/>
        <v>1.95</v>
      </c>
      <c r="Q58" s="103">
        <f t="shared" si="15"/>
        <v>23.01</v>
      </c>
    </row>
    <row r="59" spans="1:17" s="56" customFormat="1">
      <c r="A59" s="217">
        <v>46</v>
      </c>
      <c r="B59" s="238"/>
      <c r="C59" s="224" t="s">
        <v>524</v>
      </c>
      <c r="D59" s="224" t="s">
        <v>521</v>
      </c>
      <c r="E59" s="219" t="s">
        <v>118</v>
      </c>
      <c r="F59" s="311">
        <v>1</v>
      </c>
      <c r="G59" s="240">
        <v>0.65</v>
      </c>
      <c r="H59" s="240">
        <v>10</v>
      </c>
      <c r="I59" s="694">
        <v>6.5</v>
      </c>
      <c r="J59" s="694">
        <v>5.55</v>
      </c>
      <c r="K59" s="694">
        <v>0.97499999999999998</v>
      </c>
      <c r="L59" s="102">
        <f t="shared" si="11"/>
        <v>13.025</v>
      </c>
      <c r="M59" s="50">
        <f t="shared" si="1"/>
        <v>0.65</v>
      </c>
      <c r="N59" s="102">
        <f t="shared" si="12"/>
        <v>6.5</v>
      </c>
      <c r="O59" s="102">
        <f t="shared" si="13"/>
        <v>5.55</v>
      </c>
      <c r="P59" s="102">
        <f t="shared" si="14"/>
        <v>0.98</v>
      </c>
      <c r="Q59" s="103">
        <f t="shared" si="15"/>
        <v>13.030000000000001</v>
      </c>
    </row>
    <row r="60" spans="1:17" s="56" customFormat="1">
      <c r="A60" s="217">
        <v>47</v>
      </c>
      <c r="B60" s="238"/>
      <c r="C60" s="224" t="s">
        <v>524</v>
      </c>
      <c r="D60" s="224" t="s">
        <v>522</v>
      </c>
      <c r="E60" s="219" t="s">
        <v>118</v>
      </c>
      <c r="F60" s="311">
        <v>1</v>
      </c>
      <c r="G60" s="240">
        <v>0.65</v>
      </c>
      <c r="H60" s="240">
        <v>10</v>
      </c>
      <c r="I60" s="694">
        <v>6.5</v>
      </c>
      <c r="J60" s="694">
        <v>5.82</v>
      </c>
      <c r="K60" s="694">
        <v>0.97499999999999998</v>
      </c>
      <c r="L60" s="102">
        <f t="shared" si="11"/>
        <v>13.295</v>
      </c>
      <c r="M60" s="50">
        <f t="shared" si="1"/>
        <v>0.65</v>
      </c>
      <c r="N60" s="102">
        <f t="shared" si="12"/>
        <v>6.5</v>
      </c>
      <c r="O60" s="102">
        <f t="shared" si="13"/>
        <v>5.82</v>
      </c>
      <c r="P60" s="102">
        <f t="shared" si="14"/>
        <v>0.98</v>
      </c>
      <c r="Q60" s="103">
        <f t="shared" si="15"/>
        <v>13.3</v>
      </c>
    </row>
    <row r="61" spans="1:17" s="56" customFormat="1">
      <c r="A61" s="217">
        <v>48</v>
      </c>
      <c r="B61" s="238"/>
      <c r="C61" s="224" t="s">
        <v>524</v>
      </c>
      <c r="D61" s="224" t="s">
        <v>523</v>
      </c>
      <c r="E61" s="219" t="s">
        <v>118</v>
      </c>
      <c r="F61" s="311">
        <v>1</v>
      </c>
      <c r="G61" s="240">
        <v>0.65</v>
      </c>
      <c r="H61" s="240">
        <v>10</v>
      </c>
      <c r="I61" s="694">
        <v>6.5</v>
      </c>
      <c r="J61" s="694">
        <v>6.12</v>
      </c>
      <c r="K61" s="694">
        <v>0.97499999999999998</v>
      </c>
      <c r="L61" s="102">
        <f t="shared" si="11"/>
        <v>13.595000000000001</v>
      </c>
      <c r="M61" s="50">
        <f t="shared" si="1"/>
        <v>0.65</v>
      </c>
      <c r="N61" s="102">
        <f t="shared" si="12"/>
        <v>6.5</v>
      </c>
      <c r="O61" s="102">
        <f t="shared" si="13"/>
        <v>6.12</v>
      </c>
      <c r="P61" s="102">
        <f t="shared" si="14"/>
        <v>0.98</v>
      </c>
      <c r="Q61" s="103">
        <f t="shared" si="15"/>
        <v>13.600000000000001</v>
      </c>
    </row>
    <row r="62" spans="1:17" s="56" customFormat="1">
      <c r="A62" s="217">
        <v>49</v>
      </c>
      <c r="B62" s="238"/>
      <c r="C62" s="224" t="s">
        <v>524</v>
      </c>
      <c r="D62" s="224" t="s">
        <v>525</v>
      </c>
      <c r="E62" s="219" t="s">
        <v>118</v>
      </c>
      <c r="F62" s="311">
        <v>1</v>
      </c>
      <c r="G62" s="240">
        <v>0.65</v>
      </c>
      <c r="H62" s="240">
        <v>10</v>
      </c>
      <c r="I62" s="694">
        <v>6.5</v>
      </c>
      <c r="J62" s="694">
        <v>6.73</v>
      </c>
      <c r="K62" s="694">
        <v>0.97499999999999998</v>
      </c>
      <c r="L62" s="102">
        <f t="shared" si="11"/>
        <v>14.205</v>
      </c>
      <c r="M62" s="50">
        <f t="shared" si="1"/>
        <v>0.65</v>
      </c>
      <c r="N62" s="102">
        <f t="shared" si="12"/>
        <v>6.5</v>
      </c>
      <c r="O62" s="102">
        <f t="shared" si="13"/>
        <v>6.73</v>
      </c>
      <c r="P62" s="102">
        <f t="shared" si="14"/>
        <v>0.98</v>
      </c>
      <c r="Q62" s="103">
        <f t="shared" si="15"/>
        <v>14.21</v>
      </c>
    </row>
    <row r="63" spans="1:17" s="56" customFormat="1">
      <c r="A63" s="217">
        <v>50</v>
      </c>
      <c r="B63" s="238"/>
      <c r="C63" s="224" t="s">
        <v>524</v>
      </c>
      <c r="D63" s="224" t="s">
        <v>421</v>
      </c>
      <c r="E63" s="219" t="s">
        <v>118</v>
      </c>
      <c r="F63" s="311">
        <v>1</v>
      </c>
      <c r="G63" s="240">
        <v>0.65</v>
      </c>
      <c r="H63" s="240">
        <v>10</v>
      </c>
      <c r="I63" s="694">
        <v>6.5</v>
      </c>
      <c r="J63" s="694">
        <v>7.38</v>
      </c>
      <c r="K63" s="694">
        <v>0.97499999999999998</v>
      </c>
      <c r="L63" s="102">
        <f t="shared" si="11"/>
        <v>14.854999999999999</v>
      </c>
      <c r="M63" s="50">
        <f t="shared" si="1"/>
        <v>0.65</v>
      </c>
      <c r="N63" s="102">
        <f t="shared" si="12"/>
        <v>6.5</v>
      </c>
      <c r="O63" s="102">
        <f t="shared" si="13"/>
        <v>7.38</v>
      </c>
      <c r="P63" s="102">
        <f t="shared" si="14"/>
        <v>0.98</v>
      </c>
      <c r="Q63" s="103">
        <f t="shared" si="15"/>
        <v>14.86</v>
      </c>
    </row>
    <row r="64" spans="1:17" s="56" customFormat="1">
      <c r="A64" s="217">
        <v>51</v>
      </c>
      <c r="B64" s="238"/>
      <c r="C64" s="224" t="s">
        <v>526</v>
      </c>
      <c r="D64" s="224" t="s">
        <v>426</v>
      </c>
      <c r="E64" s="219" t="s">
        <v>118</v>
      </c>
      <c r="F64" s="311">
        <v>2</v>
      </c>
      <c r="G64" s="240">
        <v>0.65</v>
      </c>
      <c r="H64" s="240">
        <v>10</v>
      </c>
      <c r="I64" s="694">
        <v>6.5</v>
      </c>
      <c r="J64" s="694">
        <v>17.170000000000002</v>
      </c>
      <c r="K64" s="694">
        <v>0.97499999999999998</v>
      </c>
      <c r="L64" s="102">
        <f t="shared" si="11"/>
        <v>24.645000000000003</v>
      </c>
      <c r="M64" s="50">
        <f t="shared" si="1"/>
        <v>1.3</v>
      </c>
      <c r="N64" s="102">
        <f t="shared" si="12"/>
        <v>13</v>
      </c>
      <c r="O64" s="102">
        <f t="shared" si="13"/>
        <v>34.340000000000003</v>
      </c>
      <c r="P64" s="102">
        <f t="shared" si="14"/>
        <v>1.95</v>
      </c>
      <c r="Q64" s="103">
        <f t="shared" si="15"/>
        <v>49.290000000000006</v>
      </c>
    </row>
    <row r="65" spans="1:17" s="56" customFormat="1">
      <c r="A65" s="217">
        <v>52</v>
      </c>
      <c r="B65" s="238"/>
      <c r="C65" s="224" t="s">
        <v>527</v>
      </c>
      <c r="D65" s="224" t="s">
        <v>522</v>
      </c>
      <c r="E65" s="219" t="s">
        <v>118</v>
      </c>
      <c r="F65" s="311">
        <v>1</v>
      </c>
      <c r="G65" s="240">
        <v>0.65</v>
      </c>
      <c r="H65" s="240">
        <v>10</v>
      </c>
      <c r="I65" s="694">
        <v>6.5</v>
      </c>
      <c r="J65" s="694">
        <v>21.27</v>
      </c>
      <c r="K65" s="694">
        <v>0.97499999999999998</v>
      </c>
      <c r="L65" s="102">
        <f t="shared" si="11"/>
        <v>28.745000000000001</v>
      </c>
      <c r="M65" s="50">
        <f t="shared" si="1"/>
        <v>0.65</v>
      </c>
      <c r="N65" s="102">
        <f t="shared" si="12"/>
        <v>6.5</v>
      </c>
      <c r="O65" s="102">
        <f t="shared" si="13"/>
        <v>21.27</v>
      </c>
      <c r="P65" s="102">
        <f t="shared" si="14"/>
        <v>0.98</v>
      </c>
      <c r="Q65" s="103">
        <f t="shared" si="15"/>
        <v>28.75</v>
      </c>
    </row>
    <row r="66" spans="1:17" s="56" customFormat="1">
      <c r="A66" s="217">
        <v>53</v>
      </c>
      <c r="B66" s="238"/>
      <c r="C66" s="224" t="s">
        <v>527</v>
      </c>
      <c r="D66" s="224" t="s">
        <v>421</v>
      </c>
      <c r="E66" s="219" t="s">
        <v>118</v>
      </c>
      <c r="F66" s="311">
        <v>2</v>
      </c>
      <c r="G66" s="240">
        <v>0.65</v>
      </c>
      <c r="H66" s="240">
        <v>10</v>
      </c>
      <c r="I66" s="694">
        <v>6.5</v>
      </c>
      <c r="J66" s="694">
        <v>39.01</v>
      </c>
      <c r="K66" s="694">
        <v>0.97499999999999998</v>
      </c>
      <c r="L66" s="102">
        <f t="shared" si="11"/>
        <v>46.484999999999999</v>
      </c>
      <c r="M66" s="50">
        <f t="shared" si="1"/>
        <v>1.3</v>
      </c>
      <c r="N66" s="102">
        <f t="shared" si="12"/>
        <v>13</v>
      </c>
      <c r="O66" s="102">
        <f t="shared" si="13"/>
        <v>78.02</v>
      </c>
      <c r="P66" s="102">
        <f t="shared" si="14"/>
        <v>1.95</v>
      </c>
      <c r="Q66" s="103">
        <f t="shared" si="15"/>
        <v>92.97</v>
      </c>
    </row>
    <row r="67" spans="1:17" s="56" customFormat="1">
      <c r="A67" s="217">
        <v>54</v>
      </c>
      <c r="B67" s="238"/>
      <c r="C67" s="224" t="s">
        <v>528</v>
      </c>
      <c r="D67" s="224" t="s">
        <v>430</v>
      </c>
      <c r="E67" s="219" t="s">
        <v>118</v>
      </c>
      <c r="F67" s="311">
        <v>1</v>
      </c>
      <c r="G67" s="240">
        <v>1.4</v>
      </c>
      <c r="H67" s="240">
        <v>10</v>
      </c>
      <c r="I67" s="694">
        <v>14</v>
      </c>
      <c r="J67" s="694">
        <v>6.51</v>
      </c>
      <c r="K67" s="694">
        <v>2.1</v>
      </c>
      <c r="L67" s="102">
        <f t="shared" si="11"/>
        <v>22.61</v>
      </c>
      <c r="M67" s="50">
        <f t="shared" si="1"/>
        <v>1.4</v>
      </c>
      <c r="N67" s="102">
        <f t="shared" si="12"/>
        <v>14</v>
      </c>
      <c r="O67" s="102">
        <f t="shared" si="13"/>
        <v>6.51</v>
      </c>
      <c r="P67" s="102">
        <f t="shared" si="14"/>
        <v>2.1</v>
      </c>
      <c r="Q67" s="103">
        <f t="shared" si="15"/>
        <v>22.61</v>
      </c>
    </row>
    <row r="68" spans="1:17" s="56" customFormat="1">
      <c r="A68" s="217">
        <v>55</v>
      </c>
      <c r="B68" s="238"/>
      <c r="C68" s="224" t="s">
        <v>528</v>
      </c>
      <c r="D68" s="224" t="s">
        <v>519</v>
      </c>
      <c r="E68" s="219" t="s">
        <v>118</v>
      </c>
      <c r="F68" s="311">
        <v>1</v>
      </c>
      <c r="G68" s="240">
        <v>1.4</v>
      </c>
      <c r="H68" s="240">
        <v>10</v>
      </c>
      <c r="I68" s="694">
        <v>14</v>
      </c>
      <c r="J68" s="694">
        <v>7.98</v>
      </c>
      <c r="K68" s="694">
        <v>2.1</v>
      </c>
      <c r="L68" s="102">
        <f t="shared" si="11"/>
        <v>24.080000000000002</v>
      </c>
      <c r="M68" s="50">
        <f t="shared" si="1"/>
        <v>1.4</v>
      </c>
      <c r="N68" s="102">
        <f t="shared" si="12"/>
        <v>14</v>
      </c>
      <c r="O68" s="102">
        <f t="shared" si="13"/>
        <v>7.98</v>
      </c>
      <c r="P68" s="102">
        <f t="shared" si="14"/>
        <v>2.1</v>
      </c>
      <c r="Q68" s="103">
        <f t="shared" si="15"/>
        <v>24.080000000000002</v>
      </c>
    </row>
    <row r="69" spans="1:17" s="56" customFormat="1">
      <c r="A69" s="217">
        <v>56</v>
      </c>
      <c r="B69" s="238"/>
      <c r="C69" s="224" t="s">
        <v>279</v>
      </c>
      <c r="D69" s="224" t="s">
        <v>428</v>
      </c>
      <c r="E69" s="219" t="s">
        <v>118</v>
      </c>
      <c r="F69" s="311">
        <v>11</v>
      </c>
      <c r="G69" s="240">
        <v>1.2</v>
      </c>
      <c r="H69" s="240">
        <v>10</v>
      </c>
      <c r="I69" s="694">
        <v>12</v>
      </c>
      <c r="J69" s="694">
        <v>15</v>
      </c>
      <c r="K69" s="694">
        <v>1.7999999999999998</v>
      </c>
      <c r="L69" s="102">
        <f t="shared" si="11"/>
        <v>28.8</v>
      </c>
      <c r="M69" s="50">
        <f t="shared" si="1"/>
        <v>13.2</v>
      </c>
      <c r="N69" s="102">
        <f t="shared" si="12"/>
        <v>132</v>
      </c>
      <c r="O69" s="102">
        <f t="shared" si="13"/>
        <v>165</v>
      </c>
      <c r="P69" s="102">
        <f t="shared" si="14"/>
        <v>19.8</v>
      </c>
      <c r="Q69" s="103">
        <f t="shared" si="15"/>
        <v>316.8</v>
      </c>
    </row>
    <row r="70" spans="1:17" s="56" customFormat="1">
      <c r="A70" s="217">
        <v>57</v>
      </c>
      <c r="B70" s="238"/>
      <c r="C70" s="224" t="s">
        <v>279</v>
      </c>
      <c r="D70" s="224" t="s">
        <v>529</v>
      </c>
      <c r="E70" s="219" t="s">
        <v>118</v>
      </c>
      <c r="F70" s="311">
        <v>3</v>
      </c>
      <c r="G70" s="240">
        <v>1.2</v>
      </c>
      <c r="H70" s="240">
        <v>10</v>
      </c>
      <c r="I70" s="694">
        <v>12</v>
      </c>
      <c r="J70" s="694">
        <v>17</v>
      </c>
      <c r="K70" s="694">
        <v>1.7999999999999998</v>
      </c>
      <c r="L70" s="102">
        <f t="shared" si="11"/>
        <v>30.8</v>
      </c>
      <c r="M70" s="50">
        <f t="shared" si="1"/>
        <v>3.6</v>
      </c>
      <c r="N70" s="102">
        <f t="shared" si="12"/>
        <v>36</v>
      </c>
      <c r="O70" s="102">
        <f t="shared" si="13"/>
        <v>51</v>
      </c>
      <c r="P70" s="102">
        <f t="shared" si="14"/>
        <v>5.4</v>
      </c>
      <c r="Q70" s="103">
        <f t="shared" si="15"/>
        <v>92.4</v>
      </c>
    </row>
    <row r="71" spans="1:17" s="56" customFormat="1">
      <c r="A71" s="217">
        <v>58</v>
      </c>
      <c r="B71" s="238"/>
      <c r="C71" s="224" t="s">
        <v>429</v>
      </c>
      <c r="D71" s="224" t="s">
        <v>282</v>
      </c>
      <c r="E71" s="219" t="s">
        <v>118</v>
      </c>
      <c r="F71" s="311">
        <v>11</v>
      </c>
      <c r="G71" s="240">
        <v>1.1000000000000001</v>
      </c>
      <c r="H71" s="240">
        <v>10</v>
      </c>
      <c r="I71" s="694">
        <v>11</v>
      </c>
      <c r="J71" s="694">
        <v>24.13</v>
      </c>
      <c r="K71" s="694">
        <v>1.65</v>
      </c>
      <c r="L71" s="102">
        <f t="shared" si="11"/>
        <v>36.779999999999994</v>
      </c>
      <c r="M71" s="50">
        <f t="shared" si="1"/>
        <v>12.1</v>
      </c>
      <c r="N71" s="102">
        <f t="shared" si="12"/>
        <v>121</v>
      </c>
      <c r="O71" s="102">
        <f t="shared" si="13"/>
        <v>265.43</v>
      </c>
      <c r="P71" s="102">
        <f t="shared" si="14"/>
        <v>18.149999999999999</v>
      </c>
      <c r="Q71" s="103">
        <f t="shared" si="15"/>
        <v>404.58</v>
      </c>
    </row>
    <row r="72" spans="1:17" s="56" customFormat="1">
      <c r="A72" s="217">
        <v>59</v>
      </c>
      <c r="B72" s="238"/>
      <c r="C72" s="224" t="s">
        <v>429</v>
      </c>
      <c r="D72" s="224" t="s">
        <v>530</v>
      </c>
      <c r="E72" s="219" t="s">
        <v>118</v>
      </c>
      <c r="F72" s="311">
        <v>2</v>
      </c>
      <c r="G72" s="240">
        <v>1.1000000000000001</v>
      </c>
      <c r="H72" s="240">
        <v>10</v>
      </c>
      <c r="I72" s="694">
        <v>11</v>
      </c>
      <c r="J72" s="694">
        <v>26.23</v>
      </c>
      <c r="K72" s="694">
        <v>1.65</v>
      </c>
      <c r="L72" s="102">
        <f t="shared" si="11"/>
        <v>38.880000000000003</v>
      </c>
      <c r="M72" s="50">
        <f t="shared" si="1"/>
        <v>2.2000000000000002</v>
      </c>
      <c r="N72" s="102">
        <f t="shared" si="12"/>
        <v>22</v>
      </c>
      <c r="O72" s="102">
        <f t="shared" si="13"/>
        <v>52.46</v>
      </c>
      <c r="P72" s="102">
        <f t="shared" si="14"/>
        <v>3.3</v>
      </c>
      <c r="Q72" s="103">
        <f t="shared" si="15"/>
        <v>77.760000000000005</v>
      </c>
    </row>
    <row r="73" spans="1:17" s="56" customFormat="1">
      <c r="A73" s="217">
        <v>60</v>
      </c>
      <c r="B73" s="238"/>
      <c r="C73" s="224" t="s">
        <v>531</v>
      </c>
      <c r="D73" s="224" t="s">
        <v>532</v>
      </c>
      <c r="E73" s="219" t="s">
        <v>118</v>
      </c>
      <c r="F73" s="311" t="s">
        <v>533</v>
      </c>
      <c r="G73" s="240">
        <v>1.2</v>
      </c>
      <c r="H73" s="240">
        <v>10</v>
      </c>
      <c r="I73" s="694">
        <v>12</v>
      </c>
      <c r="J73" s="694">
        <v>32.64</v>
      </c>
      <c r="K73" s="694">
        <v>1.7999999999999998</v>
      </c>
      <c r="L73" s="102">
        <f t="shared" si="11"/>
        <v>46.44</v>
      </c>
      <c r="M73" s="50">
        <f t="shared" si="1"/>
        <v>1.2</v>
      </c>
      <c r="N73" s="102">
        <f t="shared" si="12"/>
        <v>12</v>
      </c>
      <c r="O73" s="102">
        <f t="shared" si="13"/>
        <v>32.64</v>
      </c>
      <c r="P73" s="102">
        <f t="shared" si="14"/>
        <v>1.8</v>
      </c>
      <c r="Q73" s="103">
        <f t="shared" si="15"/>
        <v>46.44</v>
      </c>
    </row>
    <row r="74" spans="1:17" s="56" customFormat="1">
      <c r="A74" s="217">
        <v>61</v>
      </c>
      <c r="B74" s="238"/>
      <c r="C74" s="224" t="s">
        <v>284</v>
      </c>
      <c r="D74" s="224" t="s">
        <v>534</v>
      </c>
      <c r="E74" s="219" t="s">
        <v>118</v>
      </c>
      <c r="F74" s="311">
        <v>6</v>
      </c>
      <c r="G74" s="240">
        <v>1.2</v>
      </c>
      <c r="H74" s="240">
        <v>10</v>
      </c>
      <c r="I74" s="694">
        <v>12</v>
      </c>
      <c r="J74" s="694">
        <v>13.35</v>
      </c>
      <c r="K74" s="694">
        <v>1.7999999999999998</v>
      </c>
      <c r="L74" s="102">
        <f t="shared" si="11"/>
        <v>27.150000000000002</v>
      </c>
      <c r="M74" s="50">
        <f t="shared" si="1"/>
        <v>7.2</v>
      </c>
      <c r="N74" s="102">
        <f t="shared" si="12"/>
        <v>72</v>
      </c>
      <c r="O74" s="102">
        <f t="shared" si="13"/>
        <v>80.099999999999994</v>
      </c>
      <c r="P74" s="102">
        <f t="shared" si="14"/>
        <v>10.8</v>
      </c>
      <c r="Q74" s="103">
        <f t="shared" si="15"/>
        <v>162.9</v>
      </c>
    </row>
    <row r="75" spans="1:17" s="56" customFormat="1">
      <c r="A75" s="217">
        <v>62</v>
      </c>
      <c r="B75" s="238"/>
      <c r="C75" s="224" t="s">
        <v>284</v>
      </c>
      <c r="D75" s="224" t="s">
        <v>535</v>
      </c>
      <c r="E75" s="219" t="s">
        <v>118</v>
      </c>
      <c r="F75" s="311">
        <v>15</v>
      </c>
      <c r="G75" s="240">
        <v>1.2</v>
      </c>
      <c r="H75" s="240">
        <v>10</v>
      </c>
      <c r="I75" s="694">
        <v>12</v>
      </c>
      <c r="J75" s="694">
        <v>15.7</v>
      </c>
      <c r="K75" s="694">
        <v>1.7999999999999998</v>
      </c>
      <c r="L75" s="102">
        <f t="shared" si="11"/>
        <v>29.5</v>
      </c>
      <c r="M75" s="50">
        <f t="shared" si="1"/>
        <v>18</v>
      </c>
      <c r="N75" s="102">
        <f t="shared" si="12"/>
        <v>180</v>
      </c>
      <c r="O75" s="102">
        <f t="shared" si="13"/>
        <v>235.5</v>
      </c>
      <c r="P75" s="102">
        <f t="shared" si="14"/>
        <v>27</v>
      </c>
      <c r="Q75" s="103">
        <f t="shared" si="15"/>
        <v>442.5</v>
      </c>
    </row>
    <row r="76" spans="1:17" s="56" customFormat="1">
      <c r="A76" s="217">
        <v>63</v>
      </c>
      <c r="B76" s="238"/>
      <c r="C76" s="224" t="s">
        <v>283</v>
      </c>
      <c r="D76" s="224" t="s">
        <v>536</v>
      </c>
      <c r="E76" s="219" t="s">
        <v>118</v>
      </c>
      <c r="F76" s="311">
        <v>4</v>
      </c>
      <c r="G76" s="240">
        <v>0.7</v>
      </c>
      <c r="H76" s="240">
        <v>10</v>
      </c>
      <c r="I76" s="694">
        <v>7</v>
      </c>
      <c r="J76" s="694">
        <v>27.8</v>
      </c>
      <c r="K76" s="694">
        <v>1.05</v>
      </c>
      <c r="L76" s="102">
        <f t="shared" si="11"/>
        <v>35.849999999999994</v>
      </c>
      <c r="M76" s="50">
        <f t="shared" si="1"/>
        <v>2.8</v>
      </c>
      <c r="N76" s="102">
        <f t="shared" si="12"/>
        <v>28</v>
      </c>
      <c r="O76" s="102">
        <f t="shared" si="13"/>
        <v>111.2</v>
      </c>
      <c r="P76" s="102">
        <f t="shared" si="14"/>
        <v>4.2</v>
      </c>
      <c r="Q76" s="103">
        <f t="shared" si="15"/>
        <v>143.39999999999998</v>
      </c>
    </row>
    <row r="77" spans="1:17" s="56" customFormat="1">
      <c r="A77" s="217">
        <v>64</v>
      </c>
      <c r="B77" s="238"/>
      <c r="C77" s="224" t="s">
        <v>537</v>
      </c>
      <c r="D77" s="224" t="s">
        <v>426</v>
      </c>
      <c r="E77" s="219" t="s">
        <v>251</v>
      </c>
      <c r="F77" s="311">
        <v>15</v>
      </c>
      <c r="G77" s="240">
        <v>0.7</v>
      </c>
      <c r="H77" s="240">
        <v>10</v>
      </c>
      <c r="I77" s="694">
        <v>7</v>
      </c>
      <c r="J77" s="694">
        <v>1.38</v>
      </c>
      <c r="K77" s="694">
        <v>1.05</v>
      </c>
      <c r="L77" s="102">
        <f t="shared" si="11"/>
        <v>9.43</v>
      </c>
      <c r="M77" s="50">
        <f t="shared" ref="M77:M104" si="16">ROUND(G77*F77,2)</f>
        <v>10.5</v>
      </c>
      <c r="N77" s="102">
        <f t="shared" si="12"/>
        <v>105</v>
      </c>
      <c r="O77" s="102">
        <f t="shared" si="13"/>
        <v>20.7</v>
      </c>
      <c r="P77" s="102">
        <f t="shared" si="14"/>
        <v>15.75</v>
      </c>
      <c r="Q77" s="103">
        <f t="shared" si="15"/>
        <v>141.44999999999999</v>
      </c>
    </row>
    <row r="78" spans="1:17" s="56" customFormat="1">
      <c r="A78" s="217">
        <v>65</v>
      </c>
      <c r="B78" s="238"/>
      <c r="C78" s="224" t="s">
        <v>537</v>
      </c>
      <c r="D78" s="224" t="s">
        <v>521</v>
      </c>
      <c r="E78" s="219" t="s">
        <v>251</v>
      </c>
      <c r="F78" s="311">
        <v>10</v>
      </c>
      <c r="G78" s="240">
        <v>0.7</v>
      </c>
      <c r="H78" s="240">
        <v>10</v>
      </c>
      <c r="I78" s="694">
        <v>7</v>
      </c>
      <c r="J78" s="694">
        <v>1.88</v>
      </c>
      <c r="K78" s="694">
        <v>1.05</v>
      </c>
      <c r="L78" s="102">
        <f t="shared" ref="L78:L104" si="17">SUM(I78:K78)</f>
        <v>9.93</v>
      </c>
      <c r="M78" s="50">
        <f t="shared" si="16"/>
        <v>7</v>
      </c>
      <c r="N78" s="102">
        <f t="shared" ref="N78:N104" si="18">ROUND(I78*F78,2)</f>
        <v>70</v>
      </c>
      <c r="O78" s="102">
        <f t="shared" ref="O78:O104" si="19">ROUND(J78*F78,2)</f>
        <v>18.8</v>
      </c>
      <c r="P78" s="102">
        <f t="shared" ref="P78:P104" si="20">ROUND(K78*F78,2)</f>
        <v>10.5</v>
      </c>
      <c r="Q78" s="103">
        <f t="shared" ref="Q78:Q104" si="21">SUM(N78:P78)</f>
        <v>99.3</v>
      </c>
    </row>
    <row r="79" spans="1:17" s="56" customFormat="1">
      <c r="A79" s="217">
        <v>66</v>
      </c>
      <c r="B79" s="238"/>
      <c r="C79" s="224" t="s">
        <v>537</v>
      </c>
      <c r="D79" s="224" t="s">
        <v>522</v>
      </c>
      <c r="E79" s="219" t="s">
        <v>251</v>
      </c>
      <c r="F79" s="311">
        <v>10</v>
      </c>
      <c r="G79" s="240">
        <v>0.7</v>
      </c>
      <c r="H79" s="240">
        <v>10</v>
      </c>
      <c r="I79" s="694">
        <v>7</v>
      </c>
      <c r="J79" s="694">
        <v>2.84</v>
      </c>
      <c r="K79" s="694">
        <v>1.05</v>
      </c>
      <c r="L79" s="102">
        <f t="shared" si="17"/>
        <v>10.89</v>
      </c>
      <c r="M79" s="50">
        <f t="shared" si="16"/>
        <v>7</v>
      </c>
      <c r="N79" s="102">
        <f t="shared" si="18"/>
        <v>70</v>
      </c>
      <c r="O79" s="102">
        <f t="shared" si="19"/>
        <v>28.4</v>
      </c>
      <c r="P79" s="102">
        <f t="shared" si="20"/>
        <v>10.5</v>
      </c>
      <c r="Q79" s="103">
        <f t="shared" si="21"/>
        <v>108.9</v>
      </c>
    </row>
    <row r="80" spans="1:17" s="56" customFormat="1">
      <c r="A80" s="217">
        <v>67</v>
      </c>
      <c r="B80" s="238"/>
      <c r="C80" s="224" t="s">
        <v>537</v>
      </c>
      <c r="D80" s="224" t="s">
        <v>523</v>
      </c>
      <c r="E80" s="219" t="s">
        <v>251</v>
      </c>
      <c r="F80" s="311">
        <v>6</v>
      </c>
      <c r="G80" s="240">
        <v>0.7</v>
      </c>
      <c r="H80" s="240">
        <v>10</v>
      </c>
      <c r="I80" s="694">
        <v>7</v>
      </c>
      <c r="J80" s="694">
        <v>3.64</v>
      </c>
      <c r="K80" s="694">
        <v>1.05</v>
      </c>
      <c r="L80" s="102">
        <f t="shared" si="17"/>
        <v>11.690000000000001</v>
      </c>
      <c r="M80" s="50">
        <f t="shared" si="16"/>
        <v>4.2</v>
      </c>
      <c r="N80" s="102">
        <f t="shared" si="18"/>
        <v>42</v>
      </c>
      <c r="O80" s="102">
        <f t="shared" si="19"/>
        <v>21.84</v>
      </c>
      <c r="P80" s="102">
        <f t="shared" si="20"/>
        <v>6.3</v>
      </c>
      <c r="Q80" s="103">
        <f t="shared" si="21"/>
        <v>70.14</v>
      </c>
    </row>
    <row r="81" spans="1:17" s="56" customFormat="1">
      <c r="A81" s="217">
        <v>68</v>
      </c>
      <c r="B81" s="238"/>
      <c r="C81" s="224" t="s">
        <v>537</v>
      </c>
      <c r="D81" s="224" t="s">
        <v>525</v>
      </c>
      <c r="E81" s="219" t="s">
        <v>251</v>
      </c>
      <c r="F81" s="311">
        <v>1</v>
      </c>
      <c r="G81" s="240">
        <v>0.7</v>
      </c>
      <c r="H81" s="240">
        <v>10</v>
      </c>
      <c r="I81" s="694">
        <v>7</v>
      </c>
      <c r="J81" s="694">
        <v>4.5199999999999996</v>
      </c>
      <c r="K81" s="694">
        <v>1.05</v>
      </c>
      <c r="L81" s="102">
        <f t="shared" si="17"/>
        <v>12.57</v>
      </c>
      <c r="M81" s="50">
        <f t="shared" si="16"/>
        <v>0.7</v>
      </c>
      <c r="N81" s="102">
        <f t="shared" si="18"/>
        <v>7</v>
      </c>
      <c r="O81" s="102">
        <f t="shared" si="19"/>
        <v>4.5199999999999996</v>
      </c>
      <c r="P81" s="102">
        <f t="shared" si="20"/>
        <v>1.05</v>
      </c>
      <c r="Q81" s="103">
        <f t="shared" si="21"/>
        <v>12.57</v>
      </c>
    </row>
    <row r="82" spans="1:17" s="56" customFormat="1">
      <c r="A82" s="217">
        <v>69</v>
      </c>
      <c r="B82" s="238"/>
      <c r="C82" s="224" t="s">
        <v>537</v>
      </c>
      <c r="D82" s="224" t="s">
        <v>421</v>
      </c>
      <c r="E82" s="219" t="s">
        <v>251</v>
      </c>
      <c r="F82" s="311">
        <v>25</v>
      </c>
      <c r="G82" s="240">
        <v>0.7</v>
      </c>
      <c r="H82" s="240">
        <v>10</v>
      </c>
      <c r="I82" s="694">
        <v>7</v>
      </c>
      <c r="J82" s="694">
        <v>5.38</v>
      </c>
      <c r="K82" s="694">
        <v>1.05</v>
      </c>
      <c r="L82" s="102">
        <f t="shared" si="17"/>
        <v>13.43</v>
      </c>
      <c r="M82" s="50">
        <f t="shared" si="16"/>
        <v>17.5</v>
      </c>
      <c r="N82" s="102">
        <f t="shared" si="18"/>
        <v>175</v>
      </c>
      <c r="O82" s="102">
        <f t="shared" si="19"/>
        <v>134.5</v>
      </c>
      <c r="P82" s="102">
        <f t="shared" si="20"/>
        <v>26.25</v>
      </c>
      <c r="Q82" s="103">
        <f t="shared" si="21"/>
        <v>335.75</v>
      </c>
    </row>
    <row r="83" spans="1:17" s="56" customFormat="1">
      <c r="A83" s="217">
        <v>70</v>
      </c>
      <c r="B83" s="238"/>
      <c r="C83" s="224" t="s">
        <v>538</v>
      </c>
      <c r="D83" s="224" t="s">
        <v>422</v>
      </c>
      <c r="E83" s="219" t="s">
        <v>251</v>
      </c>
      <c r="F83" s="311">
        <v>12</v>
      </c>
      <c r="G83" s="240">
        <v>0.9</v>
      </c>
      <c r="H83" s="240">
        <v>10</v>
      </c>
      <c r="I83" s="694">
        <v>9</v>
      </c>
      <c r="J83" s="694">
        <v>6.85</v>
      </c>
      <c r="K83" s="694">
        <v>1.3499999999999999</v>
      </c>
      <c r="L83" s="102">
        <f t="shared" si="17"/>
        <v>17.2</v>
      </c>
      <c r="M83" s="50">
        <f t="shared" si="16"/>
        <v>10.8</v>
      </c>
      <c r="N83" s="102">
        <f t="shared" si="18"/>
        <v>108</v>
      </c>
      <c r="O83" s="102">
        <f t="shared" si="19"/>
        <v>82.2</v>
      </c>
      <c r="P83" s="102">
        <f t="shared" si="20"/>
        <v>16.2</v>
      </c>
      <c r="Q83" s="103">
        <f t="shared" si="21"/>
        <v>206.39999999999998</v>
      </c>
    </row>
    <row r="84" spans="1:17" s="56" customFormat="1">
      <c r="A84" s="217">
        <v>71</v>
      </c>
      <c r="B84" s="238"/>
      <c r="C84" s="224" t="s">
        <v>537</v>
      </c>
      <c r="D84" s="224" t="s">
        <v>430</v>
      </c>
      <c r="E84" s="219" t="s">
        <v>251</v>
      </c>
      <c r="F84" s="311">
        <v>20</v>
      </c>
      <c r="G84" s="240">
        <v>0.9</v>
      </c>
      <c r="H84" s="240">
        <v>10</v>
      </c>
      <c r="I84" s="694">
        <v>9</v>
      </c>
      <c r="J84" s="694">
        <v>8.25</v>
      </c>
      <c r="K84" s="694">
        <v>1.3499999999999999</v>
      </c>
      <c r="L84" s="102">
        <f t="shared" si="17"/>
        <v>18.600000000000001</v>
      </c>
      <c r="M84" s="50">
        <f t="shared" si="16"/>
        <v>18</v>
      </c>
      <c r="N84" s="102">
        <f t="shared" si="18"/>
        <v>180</v>
      </c>
      <c r="O84" s="102">
        <f t="shared" si="19"/>
        <v>165</v>
      </c>
      <c r="P84" s="102">
        <f t="shared" si="20"/>
        <v>27</v>
      </c>
      <c r="Q84" s="103">
        <f t="shared" si="21"/>
        <v>372</v>
      </c>
    </row>
    <row r="85" spans="1:17" s="56" customFormat="1">
      <c r="A85" s="217">
        <v>72</v>
      </c>
      <c r="B85" s="238"/>
      <c r="C85" s="224" t="s">
        <v>539</v>
      </c>
      <c r="D85" s="224" t="s">
        <v>540</v>
      </c>
      <c r="E85" s="219" t="s">
        <v>251</v>
      </c>
      <c r="F85" s="311">
        <v>5</v>
      </c>
      <c r="G85" s="240">
        <v>0.65</v>
      </c>
      <c r="H85" s="240">
        <v>10</v>
      </c>
      <c r="I85" s="694">
        <v>6.5</v>
      </c>
      <c r="J85" s="694">
        <v>1.37</v>
      </c>
      <c r="K85" s="694">
        <v>0.97499999999999998</v>
      </c>
      <c r="L85" s="102">
        <f t="shared" si="17"/>
        <v>8.8450000000000006</v>
      </c>
      <c r="M85" s="50">
        <f t="shared" si="16"/>
        <v>3.25</v>
      </c>
      <c r="N85" s="102">
        <f t="shared" si="18"/>
        <v>32.5</v>
      </c>
      <c r="O85" s="102">
        <f t="shared" si="19"/>
        <v>6.85</v>
      </c>
      <c r="P85" s="102">
        <f t="shared" si="20"/>
        <v>4.88</v>
      </c>
      <c r="Q85" s="103">
        <f t="shared" si="21"/>
        <v>44.230000000000004</v>
      </c>
    </row>
    <row r="86" spans="1:17" s="56" customFormat="1">
      <c r="A86" s="217">
        <v>73</v>
      </c>
      <c r="B86" s="238"/>
      <c r="C86" s="224" t="s">
        <v>539</v>
      </c>
      <c r="D86" s="224" t="s">
        <v>541</v>
      </c>
      <c r="E86" s="219" t="s">
        <v>251</v>
      </c>
      <c r="F86" s="311">
        <v>15</v>
      </c>
      <c r="G86" s="240">
        <v>0.65</v>
      </c>
      <c r="H86" s="240">
        <v>10</v>
      </c>
      <c r="I86" s="694">
        <v>6.5</v>
      </c>
      <c r="J86" s="694">
        <v>6.96</v>
      </c>
      <c r="K86" s="694">
        <v>0.97499999999999998</v>
      </c>
      <c r="L86" s="102">
        <f t="shared" si="17"/>
        <v>14.435</v>
      </c>
      <c r="M86" s="50">
        <f t="shared" si="16"/>
        <v>9.75</v>
      </c>
      <c r="N86" s="102">
        <f t="shared" si="18"/>
        <v>97.5</v>
      </c>
      <c r="O86" s="102">
        <f t="shared" si="19"/>
        <v>104.4</v>
      </c>
      <c r="P86" s="102">
        <f t="shared" si="20"/>
        <v>14.63</v>
      </c>
      <c r="Q86" s="103">
        <f t="shared" si="21"/>
        <v>216.53</v>
      </c>
    </row>
    <row r="87" spans="1:17" s="56" customFormat="1">
      <c r="A87" s="217">
        <v>74</v>
      </c>
      <c r="B87" s="238"/>
      <c r="C87" s="224" t="s">
        <v>542</v>
      </c>
      <c r="D87" s="224" t="s">
        <v>291</v>
      </c>
      <c r="E87" s="219" t="s">
        <v>251</v>
      </c>
      <c r="F87" s="311">
        <v>16</v>
      </c>
      <c r="G87" s="240">
        <v>0.3</v>
      </c>
      <c r="H87" s="240">
        <v>10</v>
      </c>
      <c r="I87" s="694">
        <v>3</v>
      </c>
      <c r="J87" s="694">
        <v>3.25</v>
      </c>
      <c r="K87" s="694">
        <v>0.44999999999999996</v>
      </c>
      <c r="L87" s="102">
        <f t="shared" si="17"/>
        <v>6.7</v>
      </c>
      <c r="M87" s="50">
        <f t="shared" si="16"/>
        <v>4.8</v>
      </c>
      <c r="N87" s="102">
        <f t="shared" si="18"/>
        <v>48</v>
      </c>
      <c r="O87" s="102">
        <f t="shared" si="19"/>
        <v>52</v>
      </c>
      <c r="P87" s="102">
        <f t="shared" si="20"/>
        <v>7.2</v>
      </c>
      <c r="Q87" s="103">
        <f t="shared" si="21"/>
        <v>107.2</v>
      </c>
    </row>
    <row r="88" spans="1:17" s="56" customFormat="1">
      <c r="A88" s="217">
        <v>75</v>
      </c>
      <c r="B88" s="238"/>
      <c r="C88" s="224" t="s">
        <v>542</v>
      </c>
      <c r="D88" s="224" t="s">
        <v>543</v>
      </c>
      <c r="E88" s="219" t="s">
        <v>251</v>
      </c>
      <c r="F88" s="311">
        <v>11</v>
      </c>
      <c r="G88" s="240">
        <v>0.3</v>
      </c>
      <c r="H88" s="240">
        <v>10</v>
      </c>
      <c r="I88" s="694">
        <v>3</v>
      </c>
      <c r="J88" s="694">
        <v>3.6</v>
      </c>
      <c r="K88" s="694">
        <v>0.44999999999999996</v>
      </c>
      <c r="L88" s="102">
        <f t="shared" si="17"/>
        <v>7.05</v>
      </c>
      <c r="M88" s="50">
        <f t="shared" si="16"/>
        <v>3.3</v>
      </c>
      <c r="N88" s="102">
        <f t="shared" si="18"/>
        <v>33</v>
      </c>
      <c r="O88" s="102">
        <f t="shared" si="19"/>
        <v>39.6</v>
      </c>
      <c r="P88" s="102">
        <f t="shared" si="20"/>
        <v>4.95</v>
      </c>
      <c r="Q88" s="103">
        <f t="shared" si="21"/>
        <v>77.55</v>
      </c>
    </row>
    <row r="89" spans="1:17" s="56" customFormat="1">
      <c r="A89" s="217">
        <v>76</v>
      </c>
      <c r="B89" s="238"/>
      <c r="C89" s="224" t="s">
        <v>542</v>
      </c>
      <c r="D89" s="224" t="s">
        <v>544</v>
      </c>
      <c r="E89" s="219" t="s">
        <v>251</v>
      </c>
      <c r="F89" s="311">
        <v>11</v>
      </c>
      <c r="G89" s="240">
        <v>0.3</v>
      </c>
      <c r="H89" s="240">
        <v>10</v>
      </c>
      <c r="I89" s="694">
        <v>3</v>
      </c>
      <c r="J89" s="694">
        <v>5.13</v>
      </c>
      <c r="K89" s="694">
        <v>0.44999999999999996</v>
      </c>
      <c r="L89" s="102">
        <f t="shared" si="17"/>
        <v>8.5799999999999983</v>
      </c>
      <c r="M89" s="50">
        <f t="shared" si="16"/>
        <v>3.3</v>
      </c>
      <c r="N89" s="102">
        <f t="shared" si="18"/>
        <v>33</v>
      </c>
      <c r="O89" s="102">
        <f t="shared" si="19"/>
        <v>56.43</v>
      </c>
      <c r="P89" s="102">
        <f t="shared" si="20"/>
        <v>4.95</v>
      </c>
      <c r="Q89" s="103">
        <f t="shared" si="21"/>
        <v>94.38000000000001</v>
      </c>
    </row>
    <row r="90" spans="1:17" s="56" customFormat="1">
      <c r="A90" s="217">
        <v>77</v>
      </c>
      <c r="B90" s="238"/>
      <c r="C90" s="224" t="s">
        <v>542</v>
      </c>
      <c r="D90" s="224" t="s">
        <v>293</v>
      </c>
      <c r="E90" s="219" t="s">
        <v>251</v>
      </c>
      <c r="F90" s="311">
        <v>7</v>
      </c>
      <c r="G90" s="240">
        <v>0.3</v>
      </c>
      <c r="H90" s="240">
        <v>10</v>
      </c>
      <c r="I90" s="694">
        <v>3</v>
      </c>
      <c r="J90" s="694">
        <v>5.45</v>
      </c>
      <c r="K90" s="694">
        <v>0.44999999999999996</v>
      </c>
      <c r="L90" s="102">
        <f t="shared" si="17"/>
        <v>8.8999999999999986</v>
      </c>
      <c r="M90" s="50">
        <f t="shared" si="16"/>
        <v>2.1</v>
      </c>
      <c r="N90" s="102">
        <f t="shared" si="18"/>
        <v>21</v>
      </c>
      <c r="O90" s="102">
        <f t="shared" si="19"/>
        <v>38.15</v>
      </c>
      <c r="P90" s="102">
        <f t="shared" si="20"/>
        <v>3.15</v>
      </c>
      <c r="Q90" s="103">
        <f t="shared" si="21"/>
        <v>62.3</v>
      </c>
    </row>
    <row r="91" spans="1:17" s="56" customFormat="1">
      <c r="A91" s="217">
        <v>78</v>
      </c>
      <c r="B91" s="238"/>
      <c r="C91" s="224" t="s">
        <v>542</v>
      </c>
      <c r="D91" s="224" t="s">
        <v>545</v>
      </c>
      <c r="E91" s="219" t="s">
        <v>251</v>
      </c>
      <c r="F91" s="311">
        <v>1</v>
      </c>
      <c r="G91" s="240">
        <v>0.3</v>
      </c>
      <c r="H91" s="240">
        <v>10</v>
      </c>
      <c r="I91" s="694">
        <v>3</v>
      </c>
      <c r="J91" s="694">
        <v>6.38</v>
      </c>
      <c r="K91" s="694">
        <v>0.44999999999999996</v>
      </c>
      <c r="L91" s="102">
        <f t="shared" si="17"/>
        <v>9.8299999999999983</v>
      </c>
      <c r="M91" s="50">
        <f t="shared" si="16"/>
        <v>0.3</v>
      </c>
      <c r="N91" s="102">
        <f t="shared" si="18"/>
        <v>3</v>
      </c>
      <c r="O91" s="102">
        <f t="shared" si="19"/>
        <v>6.38</v>
      </c>
      <c r="P91" s="102">
        <f t="shared" si="20"/>
        <v>0.45</v>
      </c>
      <c r="Q91" s="103">
        <f t="shared" si="21"/>
        <v>9.8299999999999983</v>
      </c>
    </row>
    <row r="92" spans="1:17" s="56" customFormat="1">
      <c r="A92" s="217">
        <v>79</v>
      </c>
      <c r="B92" s="238"/>
      <c r="C92" s="224" t="s">
        <v>542</v>
      </c>
      <c r="D92" s="224" t="s">
        <v>546</v>
      </c>
      <c r="E92" s="219" t="s">
        <v>251</v>
      </c>
      <c r="F92" s="311">
        <v>26</v>
      </c>
      <c r="G92" s="240">
        <v>0.6</v>
      </c>
      <c r="H92" s="240">
        <v>10</v>
      </c>
      <c r="I92" s="694">
        <v>6</v>
      </c>
      <c r="J92" s="694">
        <v>8.14</v>
      </c>
      <c r="K92" s="694">
        <v>0.89999999999999991</v>
      </c>
      <c r="L92" s="102">
        <f t="shared" si="17"/>
        <v>15.040000000000001</v>
      </c>
      <c r="M92" s="50">
        <f t="shared" si="16"/>
        <v>15.6</v>
      </c>
      <c r="N92" s="102">
        <f t="shared" si="18"/>
        <v>156</v>
      </c>
      <c r="O92" s="102">
        <f t="shared" si="19"/>
        <v>211.64</v>
      </c>
      <c r="P92" s="102">
        <f t="shared" si="20"/>
        <v>23.4</v>
      </c>
      <c r="Q92" s="103">
        <f t="shared" si="21"/>
        <v>391.03999999999996</v>
      </c>
    </row>
    <row r="93" spans="1:17" s="56" customFormat="1">
      <c r="A93" s="217">
        <v>80</v>
      </c>
      <c r="B93" s="238"/>
      <c r="C93" s="224" t="s">
        <v>542</v>
      </c>
      <c r="D93" s="224" t="s">
        <v>298</v>
      </c>
      <c r="E93" s="219" t="s">
        <v>251</v>
      </c>
      <c r="F93" s="311">
        <v>13</v>
      </c>
      <c r="G93" s="240">
        <v>0.6</v>
      </c>
      <c r="H93" s="240">
        <v>10</v>
      </c>
      <c r="I93" s="694">
        <v>6</v>
      </c>
      <c r="J93" s="694">
        <v>8.73</v>
      </c>
      <c r="K93" s="694">
        <v>0.89999999999999991</v>
      </c>
      <c r="L93" s="102">
        <f t="shared" si="17"/>
        <v>15.63</v>
      </c>
      <c r="M93" s="50">
        <f t="shared" si="16"/>
        <v>7.8</v>
      </c>
      <c r="N93" s="102">
        <f t="shared" si="18"/>
        <v>78</v>
      </c>
      <c r="O93" s="102">
        <f t="shared" si="19"/>
        <v>113.49</v>
      </c>
      <c r="P93" s="102">
        <f t="shared" si="20"/>
        <v>11.7</v>
      </c>
      <c r="Q93" s="103">
        <f t="shared" si="21"/>
        <v>203.19</v>
      </c>
    </row>
    <row r="94" spans="1:17" s="56" customFormat="1">
      <c r="A94" s="217">
        <v>81</v>
      </c>
      <c r="B94" s="238"/>
      <c r="C94" s="224" t="s">
        <v>542</v>
      </c>
      <c r="D94" s="224" t="s">
        <v>547</v>
      </c>
      <c r="E94" s="219" t="s">
        <v>251</v>
      </c>
      <c r="F94" s="311">
        <v>21</v>
      </c>
      <c r="G94" s="240">
        <v>0.6</v>
      </c>
      <c r="H94" s="240">
        <v>10</v>
      </c>
      <c r="I94" s="694">
        <v>6</v>
      </c>
      <c r="J94" s="694">
        <v>9.32</v>
      </c>
      <c r="K94" s="694">
        <v>0.89999999999999991</v>
      </c>
      <c r="L94" s="102">
        <f t="shared" si="17"/>
        <v>16.22</v>
      </c>
      <c r="M94" s="50">
        <f t="shared" si="16"/>
        <v>12.6</v>
      </c>
      <c r="N94" s="102">
        <f t="shared" si="18"/>
        <v>126</v>
      </c>
      <c r="O94" s="102">
        <f t="shared" si="19"/>
        <v>195.72</v>
      </c>
      <c r="P94" s="102">
        <f t="shared" si="20"/>
        <v>18.899999999999999</v>
      </c>
      <c r="Q94" s="103">
        <f t="shared" si="21"/>
        <v>340.62</v>
      </c>
    </row>
    <row r="95" spans="1:17" s="56" customFormat="1">
      <c r="A95" s="217">
        <v>82</v>
      </c>
      <c r="B95" s="238"/>
      <c r="C95" s="224" t="s">
        <v>548</v>
      </c>
      <c r="D95" s="224"/>
      <c r="E95" s="219" t="s">
        <v>435</v>
      </c>
      <c r="F95" s="311">
        <v>6</v>
      </c>
      <c r="G95" s="240">
        <v>0.2</v>
      </c>
      <c r="H95" s="240">
        <v>10</v>
      </c>
      <c r="I95" s="694">
        <v>2</v>
      </c>
      <c r="J95" s="694">
        <v>3.1</v>
      </c>
      <c r="K95" s="694">
        <v>0.3</v>
      </c>
      <c r="L95" s="102">
        <f t="shared" si="17"/>
        <v>5.3999999999999995</v>
      </c>
      <c r="M95" s="50">
        <f t="shared" si="16"/>
        <v>1.2</v>
      </c>
      <c r="N95" s="102">
        <f t="shared" si="18"/>
        <v>12</v>
      </c>
      <c r="O95" s="102">
        <f t="shared" si="19"/>
        <v>18.600000000000001</v>
      </c>
      <c r="P95" s="102">
        <f t="shared" si="20"/>
        <v>1.8</v>
      </c>
      <c r="Q95" s="103">
        <f t="shared" si="21"/>
        <v>32.4</v>
      </c>
    </row>
    <row r="96" spans="1:17" s="56" customFormat="1">
      <c r="A96" s="217">
        <v>83</v>
      </c>
      <c r="B96" s="238"/>
      <c r="C96" s="224" t="s">
        <v>549</v>
      </c>
      <c r="D96" s="224"/>
      <c r="E96" s="219" t="s">
        <v>435</v>
      </c>
      <c r="F96" s="311">
        <v>3</v>
      </c>
      <c r="G96" s="240">
        <v>0.2</v>
      </c>
      <c r="H96" s="240">
        <v>10</v>
      </c>
      <c r="I96" s="694">
        <v>2</v>
      </c>
      <c r="J96" s="694">
        <v>6.2</v>
      </c>
      <c r="K96" s="694">
        <v>0.3</v>
      </c>
      <c r="L96" s="102">
        <f t="shared" si="17"/>
        <v>8.5</v>
      </c>
      <c r="M96" s="50">
        <f t="shared" si="16"/>
        <v>0.6</v>
      </c>
      <c r="N96" s="102">
        <f t="shared" si="18"/>
        <v>6</v>
      </c>
      <c r="O96" s="102">
        <f t="shared" si="19"/>
        <v>18.600000000000001</v>
      </c>
      <c r="P96" s="102">
        <f t="shared" si="20"/>
        <v>0.9</v>
      </c>
      <c r="Q96" s="103">
        <f t="shared" si="21"/>
        <v>25.5</v>
      </c>
    </row>
    <row r="97" spans="1:17" s="56" customFormat="1">
      <c r="A97" s="217">
        <v>84</v>
      </c>
      <c r="B97" s="238"/>
      <c r="C97" s="224" t="s">
        <v>550</v>
      </c>
      <c r="D97" s="224"/>
      <c r="E97" s="219" t="s">
        <v>136</v>
      </c>
      <c r="F97" s="311">
        <v>1</v>
      </c>
      <c r="G97" s="240">
        <v>9.8000000000000007</v>
      </c>
      <c r="H97" s="240">
        <v>10</v>
      </c>
      <c r="I97" s="694">
        <v>98</v>
      </c>
      <c r="J97" s="694">
        <v>315</v>
      </c>
      <c r="K97" s="694">
        <v>14.7</v>
      </c>
      <c r="L97" s="102">
        <f t="shared" si="17"/>
        <v>427.7</v>
      </c>
      <c r="M97" s="50">
        <f t="shared" si="16"/>
        <v>9.8000000000000007</v>
      </c>
      <c r="N97" s="102">
        <f t="shared" si="18"/>
        <v>98</v>
      </c>
      <c r="O97" s="102">
        <f t="shared" si="19"/>
        <v>315</v>
      </c>
      <c r="P97" s="102">
        <f t="shared" si="20"/>
        <v>14.7</v>
      </c>
      <c r="Q97" s="103">
        <f t="shared" si="21"/>
        <v>427.7</v>
      </c>
    </row>
    <row r="98" spans="1:17" s="56" customFormat="1">
      <c r="A98" s="217">
        <v>85</v>
      </c>
      <c r="B98" s="238"/>
      <c r="C98" s="224" t="s">
        <v>551</v>
      </c>
      <c r="D98" s="224"/>
      <c r="E98" s="219" t="s">
        <v>136</v>
      </c>
      <c r="F98" s="311">
        <v>1</v>
      </c>
      <c r="G98" s="240">
        <v>0.5</v>
      </c>
      <c r="H98" s="240">
        <v>10</v>
      </c>
      <c r="I98" s="694">
        <v>5</v>
      </c>
      <c r="J98" s="694">
        <v>150</v>
      </c>
      <c r="K98" s="694">
        <v>7.5</v>
      </c>
      <c r="L98" s="102">
        <f t="shared" si="17"/>
        <v>162.5</v>
      </c>
      <c r="M98" s="50">
        <f t="shared" si="16"/>
        <v>0.5</v>
      </c>
      <c r="N98" s="102">
        <f t="shared" si="18"/>
        <v>5</v>
      </c>
      <c r="O98" s="102">
        <f t="shared" si="19"/>
        <v>150</v>
      </c>
      <c r="P98" s="102">
        <f t="shared" si="20"/>
        <v>7.5</v>
      </c>
      <c r="Q98" s="103">
        <f t="shared" si="21"/>
        <v>162.5</v>
      </c>
    </row>
    <row r="99" spans="1:17" s="56" customFormat="1">
      <c r="A99" s="217">
        <v>86</v>
      </c>
      <c r="B99" s="238"/>
      <c r="C99" s="224" t="s">
        <v>552</v>
      </c>
      <c r="D99" s="224"/>
      <c r="E99" s="219" t="s">
        <v>136</v>
      </c>
      <c r="F99" s="311">
        <v>1</v>
      </c>
      <c r="G99" s="240">
        <v>1</v>
      </c>
      <c r="H99" s="240">
        <v>10</v>
      </c>
      <c r="I99" s="694">
        <v>10</v>
      </c>
      <c r="J99" s="694">
        <v>14</v>
      </c>
      <c r="K99" s="694">
        <v>1.5</v>
      </c>
      <c r="L99" s="102">
        <f t="shared" si="17"/>
        <v>25.5</v>
      </c>
      <c r="M99" s="50">
        <f t="shared" si="16"/>
        <v>1</v>
      </c>
      <c r="N99" s="102">
        <f t="shared" si="18"/>
        <v>10</v>
      </c>
      <c r="O99" s="102">
        <f t="shared" si="19"/>
        <v>14</v>
      </c>
      <c r="P99" s="102">
        <f t="shared" si="20"/>
        <v>1.5</v>
      </c>
      <c r="Q99" s="103">
        <f t="shared" si="21"/>
        <v>25.5</v>
      </c>
    </row>
    <row r="100" spans="1:17" s="56" customFormat="1">
      <c r="A100" s="217">
        <v>87</v>
      </c>
      <c r="B100" s="238"/>
      <c r="C100" s="224" t="s">
        <v>553</v>
      </c>
      <c r="D100" s="224"/>
      <c r="E100" s="219" t="s">
        <v>136</v>
      </c>
      <c r="F100" s="311">
        <v>1</v>
      </c>
      <c r="G100" s="240">
        <v>1</v>
      </c>
      <c r="H100" s="240">
        <v>10</v>
      </c>
      <c r="I100" s="694">
        <v>10</v>
      </c>
      <c r="J100" s="694">
        <v>12</v>
      </c>
      <c r="K100" s="694">
        <v>1.5</v>
      </c>
      <c r="L100" s="102">
        <f t="shared" si="17"/>
        <v>23.5</v>
      </c>
      <c r="M100" s="50">
        <f t="shared" si="16"/>
        <v>1</v>
      </c>
      <c r="N100" s="102">
        <f t="shared" si="18"/>
        <v>10</v>
      </c>
      <c r="O100" s="102">
        <f t="shared" si="19"/>
        <v>12</v>
      </c>
      <c r="P100" s="102">
        <f t="shared" si="20"/>
        <v>1.5</v>
      </c>
      <c r="Q100" s="103">
        <f t="shared" si="21"/>
        <v>23.5</v>
      </c>
    </row>
    <row r="101" spans="1:17" s="56" customFormat="1">
      <c r="A101" s="217">
        <v>88</v>
      </c>
      <c r="B101" s="238"/>
      <c r="C101" s="224" t="s">
        <v>305</v>
      </c>
      <c r="D101" s="224"/>
      <c r="E101" s="219" t="s">
        <v>136</v>
      </c>
      <c r="F101" s="311">
        <v>1</v>
      </c>
      <c r="G101" s="240"/>
      <c r="H101" s="240"/>
      <c r="I101" s="694"/>
      <c r="J101" s="694">
        <v>106</v>
      </c>
      <c r="K101" s="694"/>
      <c r="L101" s="102">
        <f t="shared" si="17"/>
        <v>106</v>
      </c>
      <c r="M101" s="50">
        <f t="shared" si="16"/>
        <v>0</v>
      </c>
      <c r="N101" s="102">
        <f t="shared" si="18"/>
        <v>0</v>
      </c>
      <c r="O101" s="102">
        <f t="shared" si="19"/>
        <v>106</v>
      </c>
      <c r="P101" s="102">
        <f t="shared" si="20"/>
        <v>0</v>
      </c>
      <c r="Q101" s="103">
        <f t="shared" si="21"/>
        <v>106</v>
      </c>
    </row>
    <row r="102" spans="1:17" s="56" customFormat="1">
      <c r="A102" s="217">
        <v>89</v>
      </c>
      <c r="B102" s="238"/>
      <c r="C102" s="224" t="s">
        <v>306</v>
      </c>
      <c r="D102" s="224"/>
      <c r="E102" s="219" t="s">
        <v>136</v>
      </c>
      <c r="F102" s="311">
        <v>1</v>
      </c>
      <c r="G102" s="240"/>
      <c r="H102" s="240"/>
      <c r="I102" s="694"/>
      <c r="J102" s="694">
        <v>80</v>
      </c>
      <c r="K102" s="694"/>
      <c r="L102" s="102">
        <f t="shared" si="17"/>
        <v>80</v>
      </c>
      <c r="M102" s="50">
        <f t="shared" si="16"/>
        <v>0</v>
      </c>
      <c r="N102" s="102">
        <f t="shared" si="18"/>
        <v>0</v>
      </c>
      <c r="O102" s="102">
        <f t="shared" si="19"/>
        <v>80</v>
      </c>
      <c r="P102" s="102">
        <f t="shared" si="20"/>
        <v>0</v>
      </c>
      <c r="Q102" s="103">
        <f t="shared" si="21"/>
        <v>80</v>
      </c>
    </row>
    <row r="103" spans="1:17" s="56" customFormat="1">
      <c r="A103" s="217">
        <v>90</v>
      </c>
      <c r="B103" s="238"/>
      <c r="C103" s="224" t="s">
        <v>304</v>
      </c>
      <c r="D103" s="224"/>
      <c r="E103" s="219" t="s">
        <v>136</v>
      </c>
      <c r="F103" s="311">
        <v>1</v>
      </c>
      <c r="G103" s="240"/>
      <c r="H103" s="240"/>
      <c r="I103" s="694"/>
      <c r="J103" s="694">
        <v>60</v>
      </c>
      <c r="K103" s="694"/>
      <c r="L103" s="102">
        <f t="shared" si="17"/>
        <v>60</v>
      </c>
      <c r="M103" s="50">
        <f t="shared" si="16"/>
        <v>0</v>
      </c>
      <c r="N103" s="102">
        <f t="shared" si="18"/>
        <v>0</v>
      </c>
      <c r="O103" s="102">
        <f t="shared" si="19"/>
        <v>60</v>
      </c>
      <c r="P103" s="102">
        <f t="shared" si="20"/>
        <v>0</v>
      </c>
      <c r="Q103" s="103">
        <f t="shared" si="21"/>
        <v>60</v>
      </c>
    </row>
    <row r="104" spans="1:17" s="56" customFormat="1" ht="24.9">
      <c r="A104" s="217">
        <v>91</v>
      </c>
      <c r="B104" s="238"/>
      <c r="C104" s="224" t="s">
        <v>309</v>
      </c>
      <c r="D104" s="224"/>
      <c r="E104" s="219" t="s">
        <v>136</v>
      </c>
      <c r="F104" s="311">
        <v>1</v>
      </c>
      <c r="G104" s="240">
        <v>72</v>
      </c>
      <c r="H104" s="240">
        <v>10</v>
      </c>
      <c r="I104" s="694">
        <v>720</v>
      </c>
      <c r="J104" s="694"/>
      <c r="K104" s="694">
        <v>108</v>
      </c>
      <c r="L104" s="102">
        <f t="shared" si="17"/>
        <v>828</v>
      </c>
      <c r="M104" s="50">
        <f t="shared" si="16"/>
        <v>72</v>
      </c>
      <c r="N104" s="102">
        <f t="shared" si="18"/>
        <v>720</v>
      </c>
      <c r="O104" s="102">
        <f t="shared" si="19"/>
        <v>0</v>
      </c>
      <c r="P104" s="102">
        <f t="shared" si="20"/>
        <v>108</v>
      </c>
      <c r="Q104" s="103">
        <f t="shared" si="21"/>
        <v>828</v>
      </c>
    </row>
    <row r="105" spans="1:17">
      <c r="A105" s="225"/>
      <c r="B105" s="226"/>
      <c r="C105" s="227"/>
      <c r="D105" s="227"/>
      <c r="E105" s="228"/>
      <c r="F105" s="229"/>
      <c r="G105" s="230">
        <v>0</v>
      </c>
      <c r="H105" s="230">
        <v>0</v>
      </c>
      <c r="I105" s="230"/>
      <c r="J105" s="229"/>
      <c r="K105" s="229"/>
      <c r="L105" s="229"/>
      <c r="M105" s="229"/>
      <c r="N105" s="229"/>
      <c r="O105" s="229"/>
      <c r="P105" s="229"/>
      <c r="Q105" s="243"/>
    </row>
    <row r="106" spans="1:17" ht="15.05" customHeight="1">
      <c r="A106" s="206"/>
      <c r="B106" s="207"/>
      <c r="C106" s="951" t="s">
        <v>99</v>
      </c>
      <c r="D106" s="951"/>
      <c r="E106" s="952"/>
      <c r="F106" s="952"/>
      <c r="G106" s="952"/>
      <c r="H106" s="952"/>
      <c r="I106" s="952"/>
      <c r="J106" s="952"/>
      <c r="K106" s="952"/>
      <c r="L106" s="952"/>
      <c r="M106" s="208">
        <f>SUM(M13:M105)</f>
        <v>525.55000000000018</v>
      </c>
      <c r="N106" s="208">
        <f>SUM(N13:N105)</f>
        <v>5283.5</v>
      </c>
      <c r="O106" s="208">
        <f>SUM(O13:O105)</f>
        <v>15706.679999999998</v>
      </c>
      <c r="P106" s="208">
        <f>SUM(P13:P105)</f>
        <v>799.94000000000028</v>
      </c>
      <c r="Q106" s="208">
        <f>SUM(Q13:Q105)</f>
        <v>21790.120000000003</v>
      </c>
    </row>
    <row r="107" spans="1:17" s="125" customFormat="1">
      <c r="J107" s="146"/>
    </row>
    <row r="108" spans="1:17" s="122" customFormat="1" ht="12.8" customHeight="1">
      <c r="B108" s="147" t="s">
        <v>54</v>
      </c>
    </row>
    <row r="109" spans="1:17" s="122" customFormat="1" ht="45" customHeight="1">
      <c r="A109"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09" s="926"/>
      <c r="C109" s="926"/>
      <c r="D109" s="926"/>
      <c r="E109" s="926"/>
      <c r="F109" s="926"/>
      <c r="G109" s="926"/>
      <c r="H109" s="926"/>
      <c r="I109" s="926"/>
      <c r="J109" s="926"/>
      <c r="K109" s="926"/>
      <c r="L109" s="926"/>
      <c r="M109" s="926"/>
      <c r="N109" s="926"/>
      <c r="O109" s="926"/>
      <c r="P109" s="926"/>
      <c r="Q109" s="926"/>
    </row>
    <row r="110" spans="1:17" s="122" customFormat="1" ht="76.75" customHeight="1">
      <c r="A110" s="925"/>
      <c r="B110" s="925"/>
      <c r="C110" s="925"/>
      <c r="D110" s="925"/>
      <c r="E110" s="925"/>
      <c r="F110" s="925"/>
      <c r="G110" s="925"/>
      <c r="H110" s="925"/>
      <c r="I110" s="925"/>
      <c r="J110" s="925"/>
      <c r="K110" s="925"/>
      <c r="L110" s="925"/>
      <c r="M110" s="925"/>
      <c r="N110" s="925"/>
      <c r="O110" s="925"/>
      <c r="P110" s="925"/>
      <c r="Q110" s="925"/>
    </row>
    <row r="111" spans="1:17" s="122" customFormat="1" ht="12.8" customHeight="1">
      <c r="B111" s="148"/>
    </row>
    <row r="112" spans="1:17" s="122" customFormat="1" ht="12.8" customHeight="1">
      <c r="B112" s="148"/>
    </row>
    <row r="113" spans="2:17" s="125" customFormat="1">
      <c r="B113" s="125" t="s">
        <v>8</v>
      </c>
      <c r="M113" s="157" t="str">
        <f>Koptame!B39</f>
        <v>Pārbaudīja:</v>
      </c>
      <c r="N113" s="157"/>
      <c r="O113" s="157"/>
      <c r="P113" s="157"/>
      <c r="Q113" s="157"/>
    </row>
    <row r="114" spans="2:17" s="125" customFormat="1">
      <c r="C114" s="175" t="str">
        <f>Koptame!C34</f>
        <v>Arnis Gailītis</v>
      </c>
      <c r="D114" s="191"/>
      <c r="M114" s="175"/>
      <c r="N114" s="922" t="str">
        <f>Koptame!C40</f>
        <v>Dzintra Cīrule</v>
      </c>
      <c r="O114" s="922"/>
      <c r="P114" s="157"/>
      <c r="Q114" s="157"/>
    </row>
    <row r="115" spans="2:17" s="125" customFormat="1">
      <c r="C115" s="176" t="str">
        <f>Koptame!C35</f>
        <v>Sertifikāta Nr.20-5643</v>
      </c>
      <c r="D115" s="192"/>
      <c r="M115" s="176"/>
      <c r="N115" s="923" t="str">
        <f>Koptame!C41</f>
        <v>Sertifikāta Nr.10-0363</v>
      </c>
      <c r="O115" s="923"/>
      <c r="P115" s="157"/>
      <c r="Q115" s="157"/>
    </row>
    <row r="116" spans="2:17" s="125" customFormat="1" collapsed="1">
      <c r="B116" s="146"/>
      <c r="G116" s="146"/>
      <c r="H116" s="146"/>
    </row>
    <row r="117" spans="2:17">
      <c r="B117" s="56"/>
      <c r="G117" s="56"/>
      <c r="H117" s="56"/>
      <c r="J117" s="19"/>
    </row>
    <row r="118" spans="2:17">
      <c r="B118" s="56"/>
      <c r="G118" s="56"/>
      <c r="H118" s="56"/>
      <c r="J118" s="19"/>
    </row>
  </sheetData>
  <mergeCells count="18">
    <mergeCell ref="C13:D13"/>
    <mergeCell ref="N115:O115"/>
    <mergeCell ref="C106:L106"/>
    <mergeCell ref="A110:Q110"/>
    <mergeCell ref="N114:O114"/>
    <mergeCell ref="A109:Q109"/>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8"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225"/>
  <sheetViews>
    <sheetView showZeros="0" view="pageBreakPreview" topLeftCell="A194" zoomScaleNormal="100" zoomScaleSheetLayoutView="100" workbookViewId="0">
      <selection activeCell="A211" sqref="A14:F211"/>
    </sheetView>
  </sheetViews>
  <sheetFormatPr defaultColWidth="9.125" defaultRowHeight="14.4"/>
  <cols>
    <col min="1" max="1" width="9" style="19" customWidth="1"/>
    <col min="2" max="2" width="9.375" style="19" customWidth="1"/>
    <col min="3" max="3" width="40.25" style="19" customWidth="1"/>
    <col min="4" max="4" width="24.375" style="19" customWidth="1"/>
    <col min="5" max="5" width="8.125" style="19" customWidth="1"/>
    <col min="6" max="9" width="9.125" style="19"/>
    <col min="10" max="10" width="9.125" style="56"/>
    <col min="11" max="12" width="9.125" style="19"/>
    <col min="13" max="13" width="11.625" style="19" customWidth="1"/>
    <col min="14" max="14" width="12.25" style="19" customWidth="1"/>
    <col min="15" max="15" width="12.75" style="19" customWidth="1"/>
    <col min="16" max="16" width="11.625" style="19" customWidth="1"/>
    <col min="17" max="17" width="13.25" style="19" customWidth="1"/>
    <col min="18" max="18" width="9.125" style="19" customWidth="1"/>
    <col min="19" max="19" width="9.125" style="19"/>
    <col min="20" max="20" width="9.125" style="19" customWidth="1"/>
    <col min="21" max="16384" width="9.125" style="19"/>
  </cols>
  <sheetData>
    <row r="1" spans="1:17" s="24" customFormat="1">
      <c r="F1" s="21"/>
      <c r="G1" s="21"/>
      <c r="H1" s="181" t="s">
        <v>92</v>
      </c>
      <c r="I1" s="110" t="str">
        <f>kops2!B27</f>
        <v>2,7</v>
      </c>
      <c r="J1" s="53"/>
    </row>
    <row r="2" spans="1:17" s="24" customFormat="1">
      <c r="A2" s="919" t="str">
        <f>C13</f>
        <v>Elektroinstalācija</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Q213</f>
        <v>440937.05</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587" t="s">
        <v>95</v>
      </c>
      <c r="K12" s="166" t="s">
        <v>60</v>
      </c>
      <c r="L12" s="166" t="s">
        <v>61</v>
      </c>
      <c r="M12" s="166" t="s">
        <v>18</v>
      </c>
      <c r="N12" s="166" t="s">
        <v>59</v>
      </c>
      <c r="O12" s="187" t="s">
        <v>95</v>
      </c>
      <c r="P12" s="166" t="s">
        <v>60</v>
      </c>
      <c r="Q12" s="166" t="s">
        <v>62</v>
      </c>
    </row>
    <row r="13" spans="1:17" ht="15.05">
      <c r="A13" s="209">
        <v>0</v>
      </c>
      <c r="B13" s="260"/>
      <c r="C13" s="949" t="str">
        <f>kops2!C27</f>
        <v>Elektroinstalācija</v>
      </c>
      <c r="D13" s="950"/>
      <c r="E13" s="213"/>
      <c r="F13" s="215"/>
      <c r="G13" s="214"/>
      <c r="H13" s="214"/>
      <c r="I13" s="216">
        <f t="shared" ref="I13" si="0">ROUND(H13*G13,2)</f>
        <v>0</v>
      </c>
      <c r="J13" s="216"/>
      <c r="K13" s="215"/>
      <c r="L13" s="215">
        <f t="shared" ref="L13" si="1">SUM(I13:K13)</f>
        <v>0</v>
      </c>
      <c r="M13" s="214">
        <f t="shared" ref="M13" si="2">ROUND(G13*F13,2)</f>
        <v>0</v>
      </c>
      <c r="N13" s="215">
        <f t="shared" ref="N13" si="3">ROUND(I13*F13,2)</f>
        <v>0</v>
      </c>
      <c r="O13" s="215">
        <f t="shared" ref="O13" si="4">ROUND(J13*F13,2)</f>
        <v>0</v>
      </c>
      <c r="P13" s="215">
        <f t="shared" ref="P13" si="5">ROUND(K13*F13,2)</f>
        <v>0</v>
      </c>
      <c r="Q13" s="244">
        <f t="shared" ref="Q13" si="6">SUM(N13:P13)</f>
        <v>0</v>
      </c>
    </row>
    <row r="14" spans="1:17" s="56" customFormat="1">
      <c r="A14" s="961"/>
      <c r="B14" s="886"/>
      <c r="C14" s="962" t="s">
        <v>555</v>
      </c>
      <c r="D14" s="886"/>
      <c r="E14" s="963"/>
      <c r="F14" s="765"/>
      <c r="G14" s="957"/>
      <c r="H14" s="958"/>
      <c r="I14" s="959"/>
      <c r="J14" s="957"/>
      <c r="K14" s="960"/>
      <c r="L14" s="102">
        <f t="shared" ref="L14:L69" si="7">SUM(I14:K14)</f>
        <v>0</v>
      </c>
      <c r="M14" s="50">
        <f t="shared" ref="M14:M69" si="8">ROUND(G14*F14,2)</f>
        <v>0</v>
      </c>
      <c r="N14" s="102">
        <f t="shared" ref="N14:N69" si="9">ROUND(I14*F14,2)</f>
        <v>0</v>
      </c>
      <c r="O14" s="102">
        <f t="shared" ref="O14:O69" si="10">ROUND(J14*F14,2)</f>
        <v>0</v>
      </c>
      <c r="P14" s="102">
        <f t="shared" ref="P14:P69" si="11">ROUND(K14*F14,2)</f>
        <v>0</v>
      </c>
      <c r="Q14" s="103">
        <f t="shared" ref="Q14:Q69" si="12">SUM(N14:P14)</f>
        <v>0</v>
      </c>
    </row>
    <row r="15" spans="1:17" s="56" customFormat="1" ht="75.3">
      <c r="A15" s="964">
        <v>1</v>
      </c>
      <c r="B15" s="965"/>
      <c r="C15" s="884" t="s">
        <v>1854</v>
      </c>
      <c r="D15" s="886" t="s">
        <v>1862</v>
      </c>
      <c r="E15" s="887" t="s">
        <v>136</v>
      </c>
      <c r="F15" s="887">
        <v>1</v>
      </c>
      <c r="G15" s="581">
        <v>32</v>
      </c>
      <c r="H15" s="582">
        <v>10</v>
      </c>
      <c r="I15" s="267">
        <f t="shared" ref="I15:I20" si="13">ROUND(G15*H15,2)</f>
        <v>320</v>
      </c>
      <c r="J15" s="240">
        <v>11600</v>
      </c>
      <c r="K15" s="389">
        <f>I15*0.1</f>
        <v>32</v>
      </c>
      <c r="L15" s="102">
        <f t="shared" si="7"/>
        <v>11952</v>
      </c>
      <c r="M15" s="50">
        <f t="shared" si="8"/>
        <v>32</v>
      </c>
      <c r="N15" s="102">
        <f t="shared" si="9"/>
        <v>320</v>
      </c>
      <c r="O15" s="102">
        <f t="shared" si="10"/>
        <v>11600</v>
      </c>
      <c r="P15" s="102">
        <f t="shared" si="11"/>
        <v>32</v>
      </c>
      <c r="Q15" s="103">
        <f t="shared" si="12"/>
        <v>11952</v>
      </c>
    </row>
    <row r="16" spans="1:17" s="56" customFormat="1" ht="60.25">
      <c r="A16" s="964">
        <f>A15+1</f>
        <v>2</v>
      </c>
      <c r="B16" s="965"/>
      <c r="C16" s="884" t="s">
        <v>1435</v>
      </c>
      <c r="D16" s="886" t="s">
        <v>1863</v>
      </c>
      <c r="E16" s="887" t="s">
        <v>136</v>
      </c>
      <c r="F16" s="887">
        <v>4</v>
      </c>
      <c r="G16" s="256">
        <v>8</v>
      </c>
      <c r="H16" s="582">
        <v>10</v>
      </c>
      <c r="I16" s="267">
        <f t="shared" si="13"/>
        <v>80</v>
      </c>
      <c r="J16" s="956">
        <v>3200</v>
      </c>
      <c r="K16" s="389">
        <f t="shared" ref="K16:K31" si="14">I16*0.1</f>
        <v>8</v>
      </c>
      <c r="L16" s="102">
        <f t="shared" si="7"/>
        <v>3288</v>
      </c>
      <c r="M16" s="50">
        <f t="shared" si="8"/>
        <v>32</v>
      </c>
      <c r="N16" s="102">
        <f t="shared" si="9"/>
        <v>320</v>
      </c>
      <c r="O16" s="102">
        <f t="shared" si="10"/>
        <v>12800</v>
      </c>
      <c r="P16" s="102">
        <f t="shared" si="11"/>
        <v>32</v>
      </c>
      <c r="Q16" s="103">
        <f t="shared" si="12"/>
        <v>13152</v>
      </c>
    </row>
    <row r="17" spans="1:17" s="56" customFormat="1" ht="75.3">
      <c r="A17" s="964">
        <v>3</v>
      </c>
      <c r="B17" s="965"/>
      <c r="C17" s="884" t="s">
        <v>1855</v>
      </c>
      <c r="D17" s="886" t="s">
        <v>1864</v>
      </c>
      <c r="E17" s="887" t="s">
        <v>136</v>
      </c>
      <c r="F17" s="887">
        <v>1</v>
      </c>
      <c r="G17" s="256">
        <v>16</v>
      </c>
      <c r="H17" s="582">
        <v>10</v>
      </c>
      <c r="I17" s="267">
        <f t="shared" si="13"/>
        <v>160</v>
      </c>
      <c r="J17" s="956">
        <v>3500</v>
      </c>
      <c r="K17" s="389">
        <f t="shared" si="14"/>
        <v>16</v>
      </c>
      <c r="L17" s="102">
        <f t="shared" si="7"/>
        <v>3676</v>
      </c>
      <c r="M17" s="50">
        <f t="shared" si="8"/>
        <v>16</v>
      </c>
      <c r="N17" s="102">
        <f t="shared" si="9"/>
        <v>160</v>
      </c>
      <c r="O17" s="102">
        <f t="shared" si="10"/>
        <v>3500</v>
      </c>
      <c r="P17" s="102">
        <f t="shared" si="11"/>
        <v>16</v>
      </c>
      <c r="Q17" s="103">
        <f t="shared" si="12"/>
        <v>3676</v>
      </c>
    </row>
    <row r="18" spans="1:17" s="56" customFormat="1" ht="75.3">
      <c r="A18" s="964">
        <v>4</v>
      </c>
      <c r="B18" s="965"/>
      <c r="C18" s="884" t="s">
        <v>1670</v>
      </c>
      <c r="D18" s="886" t="s">
        <v>1865</v>
      </c>
      <c r="E18" s="887" t="s">
        <v>136</v>
      </c>
      <c r="F18" s="887">
        <v>10</v>
      </c>
      <c r="G18" s="258">
        <v>22</v>
      </c>
      <c r="H18" s="435">
        <v>10</v>
      </c>
      <c r="I18" s="258">
        <f t="shared" si="13"/>
        <v>220</v>
      </c>
      <c r="J18" s="240">
        <v>1840</v>
      </c>
      <c r="K18" s="733">
        <f t="shared" ref="K18:K20" si="15">I18*0.15</f>
        <v>33</v>
      </c>
      <c r="L18" s="102">
        <f t="shared" si="7"/>
        <v>2093</v>
      </c>
      <c r="M18" s="50">
        <f t="shared" si="8"/>
        <v>220</v>
      </c>
      <c r="N18" s="102">
        <f t="shared" si="9"/>
        <v>2200</v>
      </c>
      <c r="O18" s="102">
        <f t="shared" si="10"/>
        <v>18400</v>
      </c>
      <c r="P18" s="102">
        <f t="shared" si="11"/>
        <v>330</v>
      </c>
      <c r="Q18" s="103">
        <f t="shared" si="12"/>
        <v>20930</v>
      </c>
    </row>
    <row r="19" spans="1:17" s="56" customFormat="1" ht="75.3">
      <c r="A19" s="964">
        <v>5</v>
      </c>
      <c r="B19" s="965"/>
      <c r="C19" s="884" t="s">
        <v>1866</v>
      </c>
      <c r="D19" s="886" t="s">
        <v>1867</v>
      </c>
      <c r="E19" s="887" t="s">
        <v>136</v>
      </c>
      <c r="F19" s="887">
        <v>50</v>
      </c>
      <c r="G19" s="258">
        <v>22</v>
      </c>
      <c r="H19" s="435">
        <v>10</v>
      </c>
      <c r="I19" s="258">
        <f t="shared" si="13"/>
        <v>220</v>
      </c>
      <c r="J19" s="240">
        <v>1840</v>
      </c>
      <c r="K19" s="733">
        <f t="shared" si="15"/>
        <v>33</v>
      </c>
      <c r="L19" s="102">
        <f t="shared" si="7"/>
        <v>2093</v>
      </c>
      <c r="M19" s="50">
        <f t="shared" si="8"/>
        <v>1100</v>
      </c>
      <c r="N19" s="102">
        <f t="shared" si="9"/>
        <v>11000</v>
      </c>
      <c r="O19" s="102">
        <f t="shared" si="10"/>
        <v>92000</v>
      </c>
      <c r="P19" s="102">
        <f t="shared" si="11"/>
        <v>1650</v>
      </c>
      <c r="Q19" s="103">
        <f t="shared" si="12"/>
        <v>104650</v>
      </c>
    </row>
    <row r="20" spans="1:17" s="56" customFormat="1" ht="225.85">
      <c r="A20" s="964">
        <f t="shared" ref="A20" si="16">A19+1</f>
        <v>6</v>
      </c>
      <c r="B20" s="965"/>
      <c r="C20" s="884" t="s">
        <v>556</v>
      </c>
      <c r="D20" s="886" t="s">
        <v>1868</v>
      </c>
      <c r="E20" s="887" t="s">
        <v>136</v>
      </c>
      <c r="F20" s="887">
        <v>1</v>
      </c>
      <c r="G20" s="258">
        <v>22</v>
      </c>
      <c r="H20" s="435">
        <v>10</v>
      </c>
      <c r="I20" s="258">
        <f t="shared" si="13"/>
        <v>220</v>
      </c>
      <c r="J20" s="240">
        <v>2260</v>
      </c>
      <c r="K20" s="733">
        <f t="shared" si="15"/>
        <v>33</v>
      </c>
      <c r="L20" s="102">
        <f t="shared" si="7"/>
        <v>2513</v>
      </c>
      <c r="M20" s="50">
        <f t="shared" si="8"/>
        <v>22</v>
      </c>
      <c r="N20" s="102">
        <f t="shared" si="9"/>
        <v>220</v>
      </c>
      <c r="O20" s="102">
        <f t="shared" si="10"/>
        <v>2260</v>
      </c>
      <c r="P20" s="102">
        <f t="shared" si="11"/>
        <v>33</v>
      </c>
      <c r="Q20" s="103">
        <f t="shared" si="12"/>
        <v>2513</v>
      </c>
    </row>
    <row r="21" spans="1:17" s="56" customFormat="1" ht="195.75">
      <c r="A21" s="964">
        <v>7</v>
      </c>
      <c r="B21" s="965"/>
      <c r="C21" s="884" t="s">
        <v>557</v>
      </c>
      <c r="D21" s="886" t="s">
        <v>1869</v>
      </c>
      <c r="E21" s="887" t="s">
        <v>136</v>
      </c>
      <c r="F21" s="887">
        <v>1</v>
      </c>
      <c r="G21" s="256">
        <v>8</v>
      </c>
      <c r="H21" s="582">
        <v>10</v>
      </c>
      <c r="I21" s="267">
        <v>85</v>
      </c>
      <c r="J21" s="956">
        <v>73</v>
      </c>
      <c r="K21" s="389">
        <f t="shared" ref="K21:K33" si="17">I21*0.1</f>
        <v>8.5</v>
      </c>
      <c r="L21" s="102">
        <f t="shared" si="7"/>
        <v>166.5</v>
      </c>
      <c r="M21" s="50">
        <f t="shared" si="8"/>
        <v>8</v>
      </c>
      <c r="N21" s="102">
        <f t="shared" si="9"/>
        <v>85</v>
      </c>
      <c r="O21" s="102">
        <f t="shared" si="10"/>
        <v>73</v>
      </c>
      <c r="P21" s="102">
        <f t="shared" si="11"/>
        <v>8.5</v>
      </c>
      <c r="Q21" s="103">
        <f t="shared" si="12"/>
        <v>166.5</v>
      </c>
    </row>
    <row r="22" spans="1:17" s="56" customFormat="1" ht="150.55000000000001">
      <c r="A22" s="964">
        <v>8</v>
      </c>
      <c r="B22" s="965"/>
      <c r="C22" s="884" t="s">
        <v>558</v>
      </c>
      <c r="D22" s="886" t="s">
        <v>1870</v>
      </c>
      <c r="E22" s="887" t="s">
        <v>136</v>
      </c>
      <c r="F22" s="887">
        <v>1</v>
      </c>
      <c r="G22" s="256">
        <v>16</v>
      </c>
      <c r="H22" s="582">
        <v>10</v>
      </c>
      <c r="I22" s="267">
        <f t="shared" ref="I22:I33" si="18">ROUND(G22*H22,2)</f>
        <v>160</v>
      </c>
      <c r="J22" s="956">
        <v>240</v>
      </c>
      <c r="K22" s="389">
        <f t="shared" si="17"/>
        <v>16</v>
      </c>
      <c r="L22" s="102">
        <f t="shared" si="7"/>
        <v>416</v>
      </c>
      <c r="M22" s="50">
        <f t="shared" si="8"/>
        <v>16</v>
      </c>
      <c r="N22" s="102">
        <f t="shared" si="9"/>
        <v>160</v>
      </c>
      <c r="O22" s="102">
        <f t="shared" si="10"/>
        <v>240</v>
      </c>
      <c r="P22" s="102">
        <f t="shared" si="11"/>
        <v>16</v>
      </c>
      <c r="Q22" s="103">
        <f t="shared" si="12"/>
        <v>416</v>
      </c>
    </row>
    <row r="23" spans="1:17" s="56" customFormat="1" ht="225.85">
      <c r="A23" s="964">
        <v>9</v>
      </c>
      <c r="B23" s="965"/>
      <c r="C23" s="884" t="s">
        <v>556</v>
      </c>
      <c r="D23" s="886" t="s">
        <v>1871</v>
      </c>
      <c r="E23" s="887" t="s">
        <v>136</v>
      </c>
      <c r="F23" s="887">
        <v>1</v>
      </c>
      <c r="G23" s="256">
        <v>16</v>
      </c>
      <c r="H23" s="582">
        <v>10</v>
      </c>
      <c r="I23" s="267">
        <f t="shared" si="18"/>
        <v>160</v>
      </c>
      <c r="J23" s="956">
        <v>180</v>
      </c>
      <c r="K23" s="389">
        <f t="shared" si="17"/>
        <v>16</v>
      </c>
      <c r="L23" s="102">
        <f t="shared" si="7"/>
        <v>356</v>
      </c>
      <c r="M23" s="50">
        <f t="shared" si="8"/>
        <v>16</v>
      </c>
      <c r="N23" s="102">
        <f t="shared" si="9"/>
        <v>160</v>
      </c>
      <c r="O23" s="102">
        <f t="shared" si="10"/>
        <v>180</v>
      </c>
      <c r="P23" s="102">
        <f t="shared" si="11"/>
        <v>16</v>
      </c>
      <c r="Q23" s="103">
        <f t="shared" si="12"/>
        <v>356</v>
      </c>
    </row>
    <row r="24" spans="1:17" s="56" customFormat="1" ht="165.6">
      <c r="A24" s="964">
        <f t="shared" ref="A24" si="19">A23+1</f>
        <v>10</v>
      </c>
      <c r="B24" s="965"/>
      <c r="C24" s="884" t="s">
        <v>559</v>
      </c>
      <c r="D24" s="886" t="s">
        <v>1872</v>
      </c>
      <c r="E24" s="887" t="s">
        <v>136</v>
      </c>
      <c r="F24" s="887">
        <v>1</v>
      </c>
      <c r="G24" s="256">
        <v>16</v>
      </c>
      <c r="H24" s="582">
        <v>10</v>
      </c>
      <c r="I24" s="267">
        <f t="shared" si="18"/>
        <v>160</v>
      </c>
      <c r="J24" s="956">
        <v>420</v>
      </c>
      <c r="K24" s="389">
        <f t="shared" si="17"/>
        <v>16</v>
      </c>
      <c r="L24" s="102">
        <f t="shared" si="7"/>
        <v>596</v>
      </c>
      <c r="M24" s="50">
        <f t="shared" si="8"/>
        <v>16</v>
      </c>
      <c r="N24" s="102">
        <f t="shared" si="9"/>
        <v>160</v>
      </c>
      <c r="O24" s="102">
        <f t="shared" si="10"/>
        <v>420</v>
      </c>
      <c r="P24" s="102">
        <f t="shared" si="11"/>
        <v>16</v>
      </c>
      <c r="Q24" s="103">
        <f t="shared" si="12"/>
        <v>596</v>
      </c>
    </row>
    <row r="25" spans="1:17" s="56" customFormat="1" ht="195.75">
      <c r="A25" s="964">
        <v>11</v>
      </c>
      <c r="B25" s="965"/>
      <c r="C25" s="884" t="s">
        <v>1856</v>
      </c>
      <c r="D25" s="886" t="s">
        <v>1873</v>
      </c>
      <c r="E25" s="887" t="s">
        <v>136</v>
      </c>
      <c r="F25" s="887">
        <v>2</v>
      </c>
      <c r="G25" s="256">
        <v>16</v>
      </c>
      <c r="H25" s="582">
        <v>10</v>
      </c>
      <c r="I25" s="267">
        <f t="shared" si="18"/>
        <v>160</v>
      </c>
      <c r="J25" s="956">
        <v>240</v>
      </c>
      <c r="K25" s="389">
        <f t="shared" si="17"/>
        <v>16</v>
      </c>
      <c r="L25" s="102">
        <f t="shared" si="7"/>
        <v>416</v>
      </c>
      <c r="M25" s="50">
        <f t="shared" si="8"/>
        <v>32</v>
      </c>
      <c r="N25" s="102">
        <f t="shared" si="9"/>
        <v>320</v>
      </c>
      <c r="O25" s="102">
        <f t="shared" si="10"/>
        <v>480</v>
      </c>
      <c r="P25" s="102">
        <f t="shared" si="11"/>
        <v>32</v>
      </c>
      <c r="Q25" s="103">
        <f t="shared" si="12"/>
        <v>832</v>
      </c>
    </row>
    <row r="26" spans="1:17" s="56" customFormat="1" ht="225.85">
      <c r="A26" s="964">
        <f t="shared" ref="A26" si="20">A25+1</f>
        <v>12</v>
      </c>
      <c r="B26" s="965"/>
      <c r="C26" s="884" t="s">
        <v>556</v>
      </c>
      <c r="D26" s="886" t="s">
        <v>1874</v>
      </c>
      <c r="E26" s="887" t="s">
        <v>136</v>
      </c>
      <c r="F26" s="887">
        <v>1</v>
      </c>
      <c r="G26" s="256">
        <v>16</v>
      </c>
      <c r="H26" s="582">
        <v>10</v>
      </c>
      <c r="I26" s="267">
        <f t="shared" si="18"/>
        <v>160</v>
      </c>
      <c r="J26" s="956">
        <v>240</v>
      </c>
      <c r="K26" s="389">
        <f t="shared" si="17"/>
        <v>16</v>
      </c>
      <c r="L26" s="102">
        <f t="shared" si="7"/>
        <v>416</v>
      </c>
      <c r="M26" s="50">
        <f t="shared" si="8"/>
        <v>16</v>
      </c>
      <c r="N26" s="102">
        <f t="shared" si="9"/>
        <v>160</v>
      </c>
      <c r="O26" s="102">
        <f t="shared" si="10"/>
        <v>240</v>
      </c>
      <c r="P26" s="102">
        <f t="shared" si="11"/>
        <v>16</v>
      </c>
      <c r="Q26" s="103">
        <f t="shared" si="12"/>
        <v>416</v>
      </c>
    </row>
    <row r="27" spans="1:17" s="56" customFormat="1" ht="225.85">
      <c r="A27" s="964">
        <v>13</v>
      </c>
      <c r="B27" s="965"/>
      <c r="C27" s="884" t="s">
        <v>556</v>
      </c>
      <c r="D27" s="886" t="s">
        <v>1875</v>
      </c>
      <c r="E27" s="887" t="s">
        <v>136</v>
      </c>
      <c r="F27" s="887">
        <v>2</v>
      </c>
      <c r="G27" s="256">
        <v>18</v>
      </c>
      <c r="H27" s="582">
        <v>10</v>
      </c>
      <c r="I27" s="267">
        <f t="shared" si="18"/>
        <v>180</v>
      </c>
      <c r="J27" s="956">
        <v>180</v>
      </c>
      <c r="K27" s="389">
        <f t="shared" si="17"/>
        <v>18</v>
      </c>
      <c r="L27" s="102">
        <f t="shared" si="7"/>
        <v>378</v>
      </c>
      <c r="M27" s="50">
        <f t="shared" si="8"/>
        <v>36</v>
      </c>
      <c r="N27" s="102">
        <f t="shared" si="9"/>
        <v>360</v>
      </c>
      <c r="O27" s="102">
        <f t="shared" si="10"/>
        <v>360</v>
      </c>
      <c r="P27" s="102">
        <f t="shared" si="11"/>
        <v>36</v>
      </c>
      <c r="Q27" s="103">
        <f t="shared" si="12"/>
        <v>756</v>
      </c>
    </row>
    <row r="28" spans="1:17" s="56" customFormat="1" ht="150.55000000000001">
      <c r="A28" s="964">
        <f t="shared" ref="A28" si="21">A27+1</f>
        <v>14</v>
      </c>
      <c r="B28" s="965"/>
      <c r="C28" s="884" t="s">
        <v>560</v>
      </c>
      <c r="D28" s="886" t="s">
        <v>1876</v>
      </c>
      <c r="E28" s="887" t="s">
        <v>136</v>
      </c>
      <c r="F28" s="887">
        <v>1</v>
      </c>
      <c r="G28" s="256">
        <v>18</v>
      </c>
      <c r="H28" s="582">
        <v>10</v>
      </c>
      <c r="I28" s="267">
        <f t="shared" si="18"/>
        <v>180</v>
      </c>
      <c r="J28" s="956">
        <v>240</v>
      </c>
      <c r="K28" s="389">
        <f t="shared" si="17"/>
        <v>18</v>
      </c>
      <c r="L28" s="102">
        <f t="shared" si="7"/>
        <v>438</v>
      </c>
      <c r="M28" s="50">
        <f t="shared" si="8"/>
        <v>18</v>
      </c>
      <c r="N28" s="102">
        <f t="shared" si="9"/>
        <v>180</v>
      </c>
      <c r="O28" s="102">
        <f t="shared" si="10"/>
        <v>240</v>
      </c>
      <c r="P28" s="102">
        <f t="shared" si="11"/>
        <v>18</v>
      </c>
      <c r="Q28" s="103">
        <f t="shared" si="12"/>
        <v>438</v>
      </c>
    </row>
    <row r="29" spans="1:17" s="56" customFormat="1" ht="180.65">
      <c r="A29" s="964">
        <v>15</v>
      </c>
      <c r="B29" s="965"/>
      <c r="C29" s="884" t="s">
        <v>561</v>
      </c>
      <c r="D29" s="886" t="s">
        <v>1877</v>
      </c>
      <c r="E29" s="887" t="s">
        <v>136</v>
      </c>
      <c r="F29" s="887">
        <v>1</v>
      </c>
      <c r="G29" s="256">
        <v>18</v>
      </c>
      <c r="H29" s="582">
        <v>10</v>
      </c>
      <c r="I29" s="267">
        <f t="shared" si="18"/>
        <v>180</v>
      </c>
      <c r="J29" s="956">
        <v>240</v>
      </c>
      <c r="K29" s="389">
        <f t="shared" si="17"/>
        <v>18</v>
      </c>
      <c r="L29" s="102">
        <f t="shared" si="7"/>
        <v>438</v>
      </c>
      <c r="M29" s="50">
        <f t="shared" si="8"/>
        <v>18</v>
      </c>
      <c r="N29" s="102">
        <f t="shared" si="9"/>
        <v>180</v>
      </c>
      <c r="O29" s="102">
        <f t="shared" si="10"/>
        <v>240</v>
      </c>
      <c r="P29" s="102">
        <f t="shared" si="11"/>
        <v>18</v>
      </c>
      <c r="Q29" s="103">
        <f t="shared" si="12"/>
        <v>438</v>
      </c>
    </row>
    <row r="30" spans="1:17" s="56" customFormat="1" ht="45.2">
      <c r="A30" s="964">
        <f t="shared" ref="A30" si="22">A29+1</f>
        <v>16</v>
      </c>
      <c r="B30" s="965"/>
      <c r="C30" s="884" t="s">
        <v>1857</v>
      </c>
      <c r="D30" s="966" t="s">
        <v>1878</v>
      </c>
      <c r="E30" s="887" t="s">
        <v>136</v>
      </c>
      <c r="F30" s="887">
        <v>1</v>
      </c>
      <c r="G30" s="256">
        <v>18</v>
      </c>
      <c r="H30" s="582">
        <v>10</v>
      </c>
      <c r="I30" s="267">
        <f t="shared" si="18"/>
        <v>180</v>
      </c>
      <c r="J30" s="956">
        <v>180</v>
      </c>
      <c r="K30" s="389">
        <f t="shared" si="17"/>
        <v>18</v>
      </c>
      <c r="L30" s="102">
        <f t="shared" si="7"/>
        <v>378</v>
      </c>
      <c r="M30" s="50">
        <f t="shared" si="8"/>
        <v>18</v>
      </c>
      <c r="N30" s="102">
        <f t="shared" si="9"/>
        <v>180</v>
      </c>
      <c r="O30" s="102">
        <f t="shared" si="10"/>
        <v>180</v>
      </c>
      <c r="P30" s="102">
        <f t="shared" si="11"/>
        <v>18</v>
      </c>
      <c r="Q30" s="103">
        <f t="shared" si="12"/>
        <v>378</v>
      </c>
    </row>
    <row r="31" spans="1:17" s="56" customFormat="1" ht="45.2">
      <c r="A31" s="964">
        <v>17</v>
      </c>
      <c r="B31" s="965"/>
      <c r="C31" s="884" t="s">
        <v>1858</v>
      </c>
      <c r="D31" s="966" t="s">
        <v>1879</v>
      </c>
      <c r="E31" s="887" t="s">
        <v>136</v>
      </c>
      <c r="F31" s="887">
        <v>1</v>
      </c>
      <c r="G31" s="256">
        <v>18</v>
      </c>
      <c r="H31" s="582">
        <v>10</v>
      </c>
      <c r="I31" s="267">
        <f t="shared" si="18"/>
        <v>180</v>
      </c>
      <c r="J31" s="956">
        <v>240</v>
      </c>
      <c r="K31" s="389">
        <f t="shared" si="17"/>
        <v>18</v>
      </c>
      <c r="L31" s="102">
        <f t="shared" si="7"/>
        <v>438</v>
      </c>
      <c r="M31" s="50">
        <f t="shared" si="8"/>
        <v>18</v>
      </c>
      <c r="N31" s="102">
        <f t="shared" si="9"/>
        <v>180</v>
      </c>
      <c r="O31" s="102">
        <f t="shared" si="10"/>
        <v>240</v>
      </c>
      <c r="P31" s="102">
        <f t="shared" si="11"/>
        <v>18</v>
      </c>
      <c r="Q31" s="103">
        <f t="shared" si="12"/>
        <v>438</v>
      </c>
    </row>
    <row r="32" spans="1:17" s="56" customFormat="1" ht="210.8">
      <c r="A32" s="964">
        <v>18</v>
      </c>
      <c r="B32" s="965"/>
      <c r="C32" s="884" t="s">
        <v>1859</v>
      </c>
      <c r="D32" s="966" t="s">
        <v>1880</v>
      </c>
      <c r="E32" s="887" t="s">
        <v>136</v>
      </c>
      <c r="F32" s="887">
        <v>1</v>
      </c>
      <c r="G32" s="256">
        <v>18</v>
      </c>
      <c r="H32" s="582">
        <v>10</v>
      </c>
      <c r="I32" s="267">
        <f t="shared" si="18"/>
        <v>180</v>
      </c>
      <c r="J32" s="956">
        <v>240</v>
      </c>
      <c r="K32" s="389">
        <f t="shared" si="17"/>
        <v>18</v>
      </c>
      <c r="L32" s="102">
        <f t="shared" si="7"/>
        <v>438</v>
      </c>
      <c r="M32" s="50">
        <f t="shared" si="8"/>
        <v>18</v>
      </c>
      <c r="N32" s="102">
        <f t="shared" si="9"/>
        <v>180</v>
      </c>
      <c r="O32" s="102">
        <f t="shared" si="10"/>
        <v>240</v>
      </c>
      <c r="P32" s="102">
        <f t="shared" si="11"/>
        <v>18</v>
      </c>
      <c r="Q32" s="103">
        <f t="shared" si="12"/>
        <v>438</v>
      </c>
    </row>
    <row r="33" spans="1:17" s="56" customFormat="1" ht="225.85">
      <c r="A33" s="964">
        <v>19</v>
      </c>
      <c r="B33" s="965"/>
      <c r="C33" s="884" t="s">
        <v>1860</v>
      </c>
      <c r="D33" s="966" t="s">
        <v>1881</v>
      </c>
      <c r="E33" s="887" t="s">
        <v>136</v>
      </c>
      <c r="F33" s="887">
        <v>1</v>
      </c>
      <c r="G33" s="256">
        <v>18</v>
      </c>
      <c r="H33" s="582">
        <v>10</v>
      </c>
      <c r="I33" s="267">
        <f t="shared" si="18"/>
        <v>180</v>
      </c>
      <c r="J33" s="956">
        <v>180</v>
      </c>
      <c r="K33" s="389">
        <f t="shared" si="17"/>
        <v>18</v>
      </c>
      <c r="L33" s="102">
        <f t="shared" si="7"/>
        <v>378</v>
      </c>
      <c r="M33" s="50">
        <f t="shared" si="8"/>
        <v>18</v>
      </c>
      <c r="N33" s="102">
        <f t="shared" si="9"/>
        <v>180</v>
      </c>
      <c r="O33" s="102">
        <f t="shared" si="10"/>
        <v>180</v>
      </c>
      <c r="P33" s="102">
        <f t="shared" si="11"/>
        <v>18</v>
      </c>
      <c r="Q33" s="103">
        <f t="shared" si="12"/>
        <v>378</v>
      </c>
    </row>
    <row r="34" spans="1:17" s="56" customFormat="1" ht="210.8">
      <c r="A34" s="964">
        <f t="shared" ref="A34" si="23">A33+1</f>
        <v>20</v>
      </c>
      <c r="B34" s="965"/>
      <c r="C34" s="884" t="s">
        <v>1861</v>
      </c>
      <c r="D34" s="886" t="s">
        <v>1882</v>
      </c>
      <c r="E34" s="887" t="s">
        <v>136</v>
      </c>
      <c r="F34" s="887">
        <v>1</v>
      </c>
      <c r="G34" s="256">
        <v>18</v>
      </c>
      <c r="H34" s="582">
        <v>10</v>
      </c>
      <c r="I34" s="267">
        <f t="shared" ref="I34:I35" si="24">ROUND(G34*H34,2)</f>
        <v>180</v>
      </c>
      <c r="J34" s="956">
        <v>181</v>
      </c>
      <c r="K34" s="389">
        <f t="shared" ref="K34:K35" si="25">I34*0.1</f>
        <v>18</v>
      </c>
      <c r="L34" s="102">
        <f t="shared" si="7"/>
        <v>379</v>
      </c>
      <c r="M34" s="50">
        <f t="shared" si="8"/>
        <v>18</v>
      </c>
      <c r="N34" s="102">
        <f t="shared" si="9"/>
        <v>180</v>
      </c>
      <c r="O34" s="102">
        <f t="shared" si="10"/>
        <v>181</v>
      </c>
      <c r="P34" s="102">
        <f t="shared" si="11"/>
        <v>18</v>
      </c>
      <c r="Q34" s="103">
        <f t="shared" si="12"/>
        <v>379</v>
      </c>
    </row>
    <row r="35" spans="1:17" s="56" customFormat="1" ht="193.75" customHeight="1">
      <c r="A35" s="964">
        <v>21</v>
      </c>
      <c r="B35" s="965"/>
      <c r="C35" s="884" t="s">
        <v>1861</v>
      </c>
      <c r="D35" s="887" t="s">
        <v>1883</v>
      </c>
      <c r="E35" s="887" t="s">
        <v>118</v>
      </c>
      <c r="F35" s="887">
        <v>1</v>
      </c>
      <c r="G35" s="256">
        <v>18</v>
      </c>
      <c r="H35" s="582">
        <v>10</v>
      </c>
      <c r="I35" s="267">
        <f t="shared" si="24"/>
        <v>180</v>
      </c>
      <c r="J35" s="956">
        <v>182</v>
      </c>
      <c r="K35" s="389">
        <f t="shared" si="25"/>
        <v>18</v>
      </c>
      <c r="L35" s="102">
        <f t="shared" si="7"/>
        <v>380</v>
      </c>
      <c r="M35" s="50">
        <f t="shared" si="8"/>
        <v>18</v>
      </c>
      <c r="N35" s="102">
        <f t="shared" si="9"/>
        <v>180</v>
      </c>
      <c r="O35" s="102">
        <f t="shared" si="10"/>
        <v>182</v>
      </c>
      <c r="P35" s="102">
        <f t="shared" si="11"/>
        <v>18</v>
      </c>
      <c r="Q35" s="103">
        <f t="shared" si="12"/>
        <v>380</v>
      </c>
    </row>
    <row r="36" spans="1:17" s="56" customFormat="1" ht="15.05">
      <c r="A36" s="964">
        <v>22</v>
      </c>
      <c r="B36" s="965"/>
      <c r="C36" s="967" t="s">
        <v>562</v>
      </c>
      <c r="D36" s="887" t="s">
        <v>1884</v>
      </c>
      <c r="E36" s="887" t="s">
        <v>1974</v>
      </c>
      <c r="F36" s="887">
        <v>79</v>
      </c>
      <c r="G36" s="256">
        <v>0.45</v>
      </c>
      <c r="H36" s="582">
        <v>10</v>
      </c>
      <c r="I36" s="267">
        <f t="shared" ref="I36" si="26">ROUND(G36*H36,2)</f>
        <v>4.5</v>
      </c>
      <c r="J36" s="956">
        <v>10.6</v>
      </c>
      <c r="K36" s="389">
        <f t="shared" ref="K36" si="27">I36*0.1</f>
        <v>0.45</v>
      </c>
      <c r="L36" s="102">
        <f t="shared" si="7"/>
        <v>15.549999999999999</v>
      </c>
      <c r="M36" s="50">
        <f t="shared" si="8"/>
        <v>35.549999999999997</v>
      </c>
      <c r="N36" s="102">
        <f t="shared" si="9"/>
        <v>355.5</v>
      </c>
      <c r="O36" s="102">
        <f t="shared" si="10"/>
        <v>837.4</v>
      </c>
      <c r="P36" s="102">
        <f t="shared" si="11"/>
        <v>35.549999999999997</v>
      </c>
      <c r="Q36" s="103">
        <f t="shared" si="12"/>
        <v>1228.45</v>
      </c>
    </row>
    <row r="37" spans="1:17" s="56" customFormat="1">
      <c r="A37" s="964"/>
      <c r="B37" s="965"/>
      <c r="C37" s="968" t="s">
        <v>563</v>
      </c>
      <c r="D37" s="887" t="s">
        <v>1884</v>
      </c>
      <c r="E37" s="887"/>
      <c r="F37" s="887"/>
      <c r="G37" s="957"/>
      <c r="H37" s="958"/>
      <c r="I37" s="959"/>
      <c r="J37" s="957"/>
      <c r="K37" s="960"/>
      <c r="L37" s="102">
        <f t="shared" si="7"/>
        <v>0</v>
      </c>
      <c r="M37" s="50">
        <f t="shared" si="8"/>
        <v>0</v>
      </c>
      <c r="N37" s="102">
        <f t="shared" si="9"/>
        <v>0</v>
      </c>
      <c r="O37" s="102">
        <f t="shared" si="10"/>
        <v>0</v>
      </c>
      <c r="P37" s="102">
        <f t="shared" si="11"/>
        <v>0</v>
      </c>
      <c r="Q37" s="103">
        <f t="shared" si="12"/>
        <v>0</v>
      </c>
    </row>
    <row r="38" spans="1:17" s="56" customFormat="1" ht="74.650000000000006">
      <c r="A38" s="964">
        <v>24</v>
      </c>
      <c r="B38" s="965"/>
      <c r="C38" s="969" t="s">
        <v>564</v>
      </c>
      <c r="D38" s="887" t="s">
        <v>1885</v>
      </c>
      <c r="E38" s="887" t="s">
        <v>136</v>
      </c>
      <c r="F38" s="887">
        <v>41</v>
      </c>
      <c r="G38" s="256">
        <v>2.1</v>
      </c>
      <c r="H38" s="582">
        <v>10</v>
      </c>
      <c r="I38" s="267">
        <f t="shared" ref="I38:I56" si="28">ROUND(G38*H38,2)</f>
        <v>21</v>
      </c>
      <c r="J38" s="956">
        <v>255.5</v>
      </c>
      <c r="K38" s="389">
        <f t="shared" ref="K38:K56" si="29">I38*0.1</f>
        <v>2.1</v>
      </c>
      <c r="L38" s="102">
        <f t="shared" si="7"/>
        <v>278.60000000000002</v>
      </c>
      <c r="M38" s="50">
        <f t="shared" si="8"/>
        <v>86.1</v>
      </c>
      <c r="N38" s="102">
        <f t="shared" si="9"/>
        <v>861</v>
      </c>
      <c r="O38" s="102">
        <f t="shared" si="10"/>
        <v>10475.5</v>
      </c>
      <c r="P38" s="102">
        <f t="shared" si="11"/>
        <v>86.1</v>
      </c>
      <c r="Q38" s="103">
        <f t="shared" si="12"/>
        <v>11422.6</v>
      </c>
    </row>
    <row r="39" spans="1:17" s="56" customFormat="1" ht="62.2">
      <c r="A39" s="964">
        <f>A38+1</f>
        <v>25</v>
      </c>
      <c r="B39" s="965"/>
      <c r="C39" s="969" t="s">
        <v>565</v>
      </c>
      <c r="D39" s="886" t="s">
        <v>1886</v>
      </c>
      <c r="E39" s="887" t="s">
        <v>136</v>
      </c>
      <c r="F39" s="887">
        <v>8</v>
      </c>
      <c r="G39" s="256">
        <v>2.1</v>
      </c>
      <c r="H39" s="582">
        <v>10</v>
      </c>
      <c r="I39" s="267">
        <f t="shared" si="28"/>
        <v>21</v>
      </c>
      <c r="J39" s="956">
        <v>455.5</v>
      </c>
      <c r="K39" s="389">
        <f t="shared" si="29"/>
        <v>2.1</v>
      </c>
      <c r="L39" s="102">
        <f t="shared" si="7"/>
        <v>478.6</v>
      </c>
      <c r="M39" s="50">
        <f t="shared" si="8"/>
        <v>16.8</v>
      </c>
      <c r="N39" s="102">
        <f t="shared" si="9"/>
        <v>168</v>
      </c>
      <c r="O39" s="102">
        <f t="shared" si="10"/>
        <v>3644</v>
      </c>
      <c r="P39" s="102">
        <f t="shared" si="11"/>
        <v>16.8</v>
      </c>
      <c r="Q39" s="103">
        <f t="shared" si="12"/>
        <v>3828.8</v>
      </c>
    </row>
    <row r="40" spans="1:17" s="56" customFormat="1" ht="74.650000000000006">
      <c r="A40" s="964">
        <f t="shared" ref="A40:A65" si="30">A39+1</f>
        <v>26</v>
      </c>
      <c r="B40" s="965"/>
      <c r="C40" s="969" t="s">
        <v>566</v>
      </c>
      <c r="D40" s="886" t="s">
        <v>1887</v>
      </c>
      <c r="E40" s="887" t="s">
        <v>136</v>
      </c>
      <c r="F40" s="887">
        <v>24</v>
      </c>
      <c r="G40" s="256">
        <v>2.1</v>
      </c>
      <c r="H40" s="582">
        <v>10</v>
      </c>
      <c r="I40" s="267">
        <f t="shared" si="28"/>
        <v>21</v>
      </c>
      <c r="J40" s="956">
        <v>121.5</v>
      </c>
      <c r="K40" s="389">
        <f t="shared" si="29"/>
        <v>2.1</v>
      </c>
      <c r="L40" s="102">
        <f t="shared" si="7"/>
        <v>144.6</v>
      </c>
      <c r="M40" s="50">
        <f t="shared" si="8"/>
        <v>50.4</v>
      </c>
      <c r="N40" s="102">
        <f t="shared" si="9"/>
        <v>504</v>
      </c>
      <c r="O40" s="102">
        <f t="shared" si="10"/>
        <v>2916</v>
      </c>
      <c r="P40" s="102">
        <f t="shared" si="11"/>
        <v>50.4</v>
      </c>
      <c r="Q40" s="103">
        <f t="shared" si="12"/>
        <v>3470.4</v>
      </c>
    </row>
    <row r="41" spans="1:17" s="56" customFormat="1" ht="74.650000000000006">
      <c r="A41" s="964">
        <f t="shared" si="30"/>
        <v>27</v>
      </c>
      <c r="B41" s="965"/>
      <c r="C41" s="885" t="s">
        <v>567</v>
      </c>
      <c r="D41" s="886" t="s">
        <v>1888</v>
      </c>
      <c r="E41" s="887" t="s">
        <v>136</v>
      </c>
      <c r="F41" s="887">
        <v>78</v>
      </c>
      <c r="G41" s="256">
        <v>2.1</v>
      </c>
      <c r="H41" s="582">
        <v>10</v>
      </c>
      <c r="I41" s="267">
        <f t="shared" si="28"/>
        <v>21</v>
      </c>
      <c r="J41" s="956">
        <v>140</v>
      </c>
      <c r="K41" s="389">
        <f t="shared" si="29"/>
        <v>2.1</v>
      </c>
      <c r="L41" s="102">
        <f t="shared" si="7"/>
        <v>163.1</v>
      </c>
      <c r="M41" s="50">
        <f t="shared" si="8"/>
        <v>163.80000000000001</v>
      </c>
      <c r="N41" s="102">
        <f t="shared" si="9"/>
        <v>1638</v>
      </c>
      <c r="O41" s="102">
        <f t="shared" si="10"/>
        <v>10920</v>
      </c>
      <c r="P41" s="102">
        <f t="shared" si="11"/>
        <v>163.80000000000001</v>
      </c>
      <c r="Q41" s="103">
        <f t="shared" si="12"/>
        <v>12721.8</v>
      </c>
    </row>
    <row r="42" spans="1:17" s="56" customFormat="1" ht="62.2">
      <c r="A42" s="964">
        <f t="shared" si="30"/>
        <v>28</v>
      </c>
      <c r="B42" s="965"/>
      <c r="C42" s="885" t="s">
        <v>568</v>
      </c>
      <c r="D42" s="886" t="s">
        <v>1889</v>
      </c>
      <c r="E42" s="887" t="s">
        <v>136</v>
      </c>
      <c r="F42" s="887">
        <v>106</v>
      </c>
      <c r="G42" s="256">
        <v>2.1</v>
      </c>
      <c r="H42" s="582">
        <v>10</v>
      </c>
      <c r="I42" s="267">
        <f t="shared" si="28"/>
        <v>21</v>
      </c>
      <c r="J42" s="956">
        <v>140</v>
      </c>
      <c r="K42" s="389">
        <f t="shared" si="29"/>
        <v>2.1</v>
      </c>
      <c r="L42" s="102">
        <f t="shared" si="7"/>
        <v>163.1</v>
      </c>
      <c r="M42" s="50">
        <f t="shared" si="8"/>
        <v>222.6</v>
      </c>
      <c r="N42" s="102">
        <f t="shared" si="9"/>
        <v>2226</v>
      </c>
      <c r="O42" s="102">
        <f t="shared" si="10"/>
        <v>14840</v>
      </c>
      <c r="P42" s="102">
        <f t="shared" si="11"/>
        <v>222.6</v>
      </c>
      <c r="Q42" s="103">
        <f t="shared" si="12"/>
        <v>17288.599999999999</v>
      </c>
    </row>
    <row r="43" spans="1:17" s="56" customFormat="1" ht="62.2">
      <c r="A43" s="964">
        <f t="shared" si="30"/>
        <v>29</v>
      </c>
      <c r="B43" s="965"/>
      <c r="C43" s="885" t="s">
        <v>569</v>
      </c>
      <c r="D43" s="886" t="s">
        <v>1890</v>
      </c>
      <c r="E43" s="887" t="s">
        <v>136</v>
      </c>
      <c r="F43" s="887">
        <v>24</v>
      </c>
      <c r="G43" s="256">
        <v>2.1</v>
      </c>
      <c r="H43" s="582">
        <v>10</v>
      </c>
      <c r="I43" s="267">
        <f t="shared" si="28"/>
        <v>21</v>
      </c>
      <c r="J43" s="956">
        <v>121.5</v>
      </c>
      <c r="K43" s="389">
        <f t="shared" si="29"/>
        <v>2.1</v>
      </c>
      <c r="L43" s="102">
        <f t="shared" si="7"/>
        <v>144.6</v>
      </c>
      <c r="M43" s="50">
        <f t="shared" si="8"/>
        <v>50.4</v>
      </c>
      <c r="N43" s="102">
        <f t="shared" si="9"/>
        <v>504</v>
      </c>
      <c r="O43" s="102">
        <f t="shared" si="10"/>
        <v>2916</v>
      </c>
      <c r="P43" s="102">
        <f t="shared" si="11"/>
        <v>50.4</v>
      </c>
      <c r="Q43" s="103">
        <f t="shared" si="12"/>
        <v>3470.4</v>
      </c>
    </row>
    <row r="44" spans="1:17" s="56" customFormat="1" ht="62.2">
      <c r="A44" s="964">
        <f t="shared" si="30"/>
        <v>30</v>
      </c>
      <c r="B44" s="965"/>
      <c r="C44" s="885" t="s">
        <v>570</v>
      </c>
      <c r="D44" s="886" t="s">
        <v>1891</v>
      </c>
      <c r="E44" s="887" t="s">
        <v>136</v>
      </c>
      <c r="F44" s="887">
        <v>1</v>
      </c>
      <c r="G44" s="256">
        <v>2.1</v>
      </c>
      <c r="H44" s="582">
        <v>10</v>
      </c>
      <c r="I44" s="267">
        <f t="shared" si="28"/>
        <v>21</v>
      </c>
      <c r="J44" s="956">
        <v>69</v>
      </c>
      <c r="K44" s="389">
        <f t="shared" si="29"/>
        <v>2.1</v>
      </c>
      <c r="L44" s="102">
        <f t="shared" si="7"/>
        <v>92.1</v>
      </c>
      <c r="M44" s="50">
        <f t="shared" si="8"/>
        <v>2.1</v>
      </c>
      <c r="N44" s="102">
        <f t="shared" si="9"/>
        <v>21</v>
      </c>
      <c r="O44" s="102">
        <f t="shared" si="10"/>
        <v>69</v>
      </c>
      <c r="P44" s="102">
        <f t="shared" si="11"/>
        <v>2.1</v>
      </c>
      <c r="Q44" s="103">
        <f t="shared" si="12"/>
        <v>92.1</v>
      </c>
    </row>
    <row r="45" spans="1:17" s="56" customFormat="1" ht="74.650000000000006">
      <c r="A45" s="964">
        <f t="shared" si="30"/>
        <v>31</v>
      </c>
      <c r="B45" s="965"/>
      <c r="C45" s="885" t="s">
        <v>571</v>
      </c>
      <c r="D45" s="886" t="s">
        <v>1892</v>
      </c>
      <c r="E45" s="887" t="s">
        <v>136</v>
      </c>
      <c r="F45" s="887">
        <v>4</v>
      </c>
      <c r="G45" s="256">
        <v>2.1</v>
      </c>
      <c r="H45" s="582">
        <v>10</v>
      </c>
      <c r="I45" s="267">
        <f t="shared" si="28"/>
        <v>21</v>
      </c>
      <c r="J45" s="956">
        <v>695</v>
      </c>
      <c r="K45" s="389">
        <f t="shared" si="29"/>
        <v>2.1</v>
      </c>
      <c r="L45" s="102">
        <f t="shared" si="7"/>
        <v>718.1</v>
      </c>
      <c r="M45" s="50">
        <f t="shared" si="8"/>
        <v>8.4</v>
      </c>
      <c r="N45" s="102">
        <f t="shared" si="9"/>
        <v>84</v>
      </c>
      <c r="O45" s="102">
        <f t="shared" si="10"/>
        <v>2780</v>
      </c>
      <c r="P45" s="102">
        <f t="shared" si="11"/>
        <v>8.4</v>
      </c>
      <c r="Q45" s="103">
        <f t="shared" si="12"/>
        <v>2872.4</v>
      </c>
    </row>
    <row r="46" spans="1:17" s="56" customFormat="1" ht="74.650000000000006">
      <c r="A46" s="964">
        <f t="shared" si="30"/>
        <v>32</v>
      </c>
      <c r="B46" s="965"/>
      <c r="C46" s="885" t="s">
        <v>572</v>
      </c>
      <c r="D46" s="886" t="s">
        <v>1893</v>
      </c>
      <c r="E46" s="887" t="s">
        <v>136</v>
      </c>
      <c r="F46" s="887">
        <v>8</v>
      </c>
      <c r="G46" s="256">
        <v>2.1</v>
      </c>
      <c r="H46" s="582">
        <v>10</v>
      </c>
      <c r="I46" s="267">
        <f t="shared" si="28"/>
        <v>21</v>
      </c>
      <c r="J46" s="956">
        <v>115</v>
      </c>
      <c r="K46" s="389">
        <f t="shared" si="29"/>
        <v>2.1</v>
      </c>
      <c r="L46" s="102">
        <f t="shared" si="7"/>
        <v>138.1</v>
      </c>
      <c r="M46" s="50">
        <f t="shared" si="8"/>
        <v>16.8</v>
      </c>
      <c r="N46" s="102">
        <f t="shared" si="9"/>
        <v>168</v>
      </c>
      <c r="O46" s="102">
        <f t="shared" si="10"/>
        <v>920</v>
      </c>
      <c r="P46" s="102">
        <f t="shared" si="11"/>
        <v>16.8</v>
      </c>
      <c r="Q46" s="103">
        <f t="shared" si="12"/>
        <v>1104.8</v>
      </c>
    </row>
    <row r="47" spans="1:17" s="56" customFormat="1" ht="62.2">
      <c r="A47" s="964">
        <f t="shared" si="30"/>
        <v>33</v>
      </c>
      <c r="B47" s="965"/>
      <c r="C47" s="885" t="s">
        <v>573</v>
      </c>
      <c r="D47" s="886" t="s">
        <v>1894</v>
      </c>
      <c r="E47" s="887" t="s">
        <v>136</v>
      </c>
      <c r="F47" s="887">
        <v>17</v>
      </c>
      <c r="G47" s="256">
        <v>2.1</v>
      </c>
      <c r="H47" s="582">
        <v>10</v>
      </c>
      <c r="I47" s="267">
        <f t="shared" si="28"/>
        <v>21</v>
      </c>
      <c r="J47" s="956">
        <v>83</v>
      </c>
      <c r="K47" s="389">
        <f t="shared" si="29"/>
        <v>2.1</v>
      </c>
      <c r="L47" s="102">
        <f t="shared" si="7"/>
        <v>106.1</v>
      </c>
      <c r="M47" s="50">
        <f t="shared" si="8"/>
        <v>35.700000000000003</v>
      </c>
      <c r="N47" s="102">
        <f t="shared" si="9"/>
        <v>357</v>
      </c>
      <c r="O47" s="102">
        <f t="shared" si="10"/>
        <v>1411</v>
      </c>
      <c r="P47" s="102">
        <f t="shared" si="11"/>
        <v>35.700000000000003</v>
      </c>
      <c r="Q47" s="103">
        <f t="shared" si="12"/>
        <v>1803.7</v>
      </c>
    </row>
    <row r="48" spans="1:17" s="56" customFormat="1" ht="62.2">
      <c r="A48" s="964">
        <f t="shared" si="30"/>
        <v>34</v>
      </c>
      <c r="B48" s="965"/>
      <c r="C48" s="885" t="s">
        <v>574</v>
      </c>
      <c r="D48" s="886" t="s">
        <v>1895</v>
      </c>
      <c r="E48" s="887" t="s">
        <v>136</v>
      </c>
      <c r="F48" s="887">
        <v>46</v>
      </c>
      <c r="G48" s="256">
        <v>2.1</v>
      </c>
      <c r="H48" s="582">
        <v>10</v>
      </c>
      <c r="I48" s="267">
        <f t="shared" si="28"/>
        <v>21</v>
      </c>
      <c r="J48" s="956">
        <v>85</v>
      </c>
      <c r="K48" s="389">
        <f t="shared" si="29"/>
        <v>2.1</v>
      </c>
      <c r="L48" s="102">
        <f t="shared" si="7"/>
        <v>108.1</v>
      </c>
      <c r="M48" s="50">
        <f t="shared" si="8"/>
        <v>96.6</v>
      </c>
      <c r="N48" s="102">
        <f t="shared" si="9"/>
        <v>966</v>
      </c>
      <c r="O48" s="102">
        <f t="shared" si="10"/>
        <v>3910</v>
      </c>
      <c r="P48" s="102">
        <f t="shared" si="11"/>
        <v>96.6</v>
      </c>
      <c r="Q48" s="103">
        <f t="shared" si="12"/>
        <v>4972.6000000000004</v>
      </c>
    </row>
    <row r="49" spans="1:17" s="56" customFormat="1" ht="62.2">
      <c r="A49" s="964">
        <f t="shared" si="30"/>
        <v>35</v>
      </c>
      <c r="B49" s="965"/>
      <c r="C49" s="885" t="s">
        <v>575</v>
      </c>
      <c r="D49" s="886" t="s">
        <v>1896</v>
      </c>
      <c r="E49" s="887" t="s">
        <v>136</v>
      </c>
      <c r="F49" s="887">
        <v>29</v>
      </c>
      <c r="G49" s="256">
        <v>2.1</v>
      </c>
      <c r="H49" s="582">
        <v>10</v>
      </c>
      <c r="I49" s="267">
        <f t="shared" si="28"/>
        <v>21</v>
      </c>
      <c r="J49" s="257">
        <v>85</v>
      </c>
      <c r="K49" s="389">
        <f t="shared" si="29"/>
        <v>2.1</v>
      </c>
      <c r="L49" s="102">
        <f t="shared" si="7"/>
        <v>108.1</v>
      </c>
      <c r="M49" s="50">
        <f t="shared" si="8"/>
        <v>60.9</v>
      </c>
      <c r="N49" s="102">
        <f t="shared" si="9"/>
        <v>609</v>
      </c>
      <c r="O49" s="102">
        <f t="shared" si="10"/>
        <v>2465</v>
      </c>
      <c r="P49" s="102">
        <f t="shared" si="11"/>
        <v>60.9</v>
      </c>
      <c r="Q49" s="103">
        <f t="shared" si="12"/>
        <v>3134.9</v>
      </c>
    </row>
    <row r="50" spans="1:17" s="56" customFormat="1" ht="62.2">
      <c r="A50" s="964">
        <v>36</v>
      </c>
      <c r="B50" s="965"/>
      <c r="C50" s="885" t="s">
        <v>1671</v>
      </c>
      <c r="D50" s="886" t="s">
        <v>1897</v>
      </c>
      <c r="E50" s="887" t="s">
        <v>136</v>
      </c>
      <c r="F50" s="887">
        <v>4</v>
      </c>
      <c r="G50" s="256">
        <v>2.1</v>
      </c>
      <c r="H50" s="582">
        <v>10</v>
      </c>
      <c r="I50" s="267">
        <f t="shared" si="28"/>
        <v>21</v>
      </c>
      <c r="J50" s="257">
        <v>85</v>
      </c>
      <c r="K50" s="389">
        <f t="shared" si="29"/>
        <v>2.1</v>
      </c>
      <c r="L50" s="102">
        <f t="shared" si="7"/>
        <v>108.1</v>
      </c>
      <c r="M50" s="50">
        <f t="shared" si="8"/>
        <v>8.4</v>
      </c>
      <c r="N50" s="102">
        <f t="shared" si="9"/>
        <v>84</v>
      </c>
      <c r="O50" s="102">
        <f t="shared" si="10"/>
        <v>340</v>
      </c>
      <c r="P50" s="102">
        <f t="shared" si="11"/>
        <v>8.4</v>
      </c>
      <c r="Q50" s="103">
        <f t="shared" si="12"/>
        <v>432.4</v>
      </c>
    </row>
    <row r="51" spans="1:17" s="56" customFormat="1" ht="74.650000000000006">
      <c r="A51" s="964">
        <v>37</v>
      </c>
      <c r="B51" s="965"/>
      <c r="C51" s="885" t="s">
        <v>576</v>
      </c>
      <c r="D51" s="886" t="s">
        <v>1898</v>
      </c>
      <c r="E51" s="887" t="s">
        <v>136</v>
      </c>
      <c r="F51" s="887">
        <v>10</v>
      </c>
      <c r="G51" s="256">
        <v>2.1</v>
      </c>
      <c r="H51" s="582">
        <v>10</v>
      </c>
      <c r="I51" s="267">
        <f t="shared" si="28"/>
        <v>21</v>
      </c>
      <c r="J51" s="257">
        <v>83</v>
      </c>
      <c r="K51" s="389">
        <f t="shared" si="29"/>
        <v>2.1</v>
      </c>
      <c r="L51" s="102">
        <f t="shared" si="7"/>
        <v>106.1</v>
      </c>
      <c r="M51" s="50">
        <f t="shared" si="8"/>
        <v>21</v>
      </c>
      <c r="N51" s="102">
        <f t="shared" si="9"/>
        <v>210</v>
      </c>
      <c r="O51" s="102">
        <f t="shared" si="10"/>
        <v>830</v>
      </c>
      <c r="P51" s="102">
        <f t="shared" si="11"/>
        <v>21</v>
      </c>
      <c r="Q51" s="103">
        <f t="shared" si="12"/>
        <v>1061</v>
      </c>
    </row>
    <row r="52" spans="1:17" s="56" customFormat="1" ht="62.2">
      <c r="A52" s="964">
        <f t="shared" si="30"/>
        <v>38</v>
      </c>
      <c r="B52" s="965"/>
      <c r="C52" s="885" t="s">
        <v>577</v>
      </c>
      <c r="D52" s="886" t="s">
        <v>1899</v>
      </c>
      <c r="E52" s="887" t="s">
        <v>136</v>
      </c>
      <c r="F52" s="887">
        <v>25</v>
      </c>
      <c r="G52" s="256">
        <v>2.1</v>
      </c>
      <c r="H52" s="582">
        <v>10</v>
      </c>
      <c r="I52" s="267">
        <f t="shared" si="28"/>
        <v>21</v>
      </c>
      <c r="J52" s="257">
        <v>194</v>
      </c>
      <c r="K52" s="389">
        <f t="shared" si="29"/>
        <v>2.1</v>
      </c>
      <c r="L52" s="102">
        <f t="shared" si="7"/>
        <v>217.1</v>
      </c>
      <c r="M52" s="50">
        <f t="shared" si="8"/>
        <v>52.5</v>
      </c>
      <c r="N52" s="102">
        <f t="shared" si="9"/>
        <v>525</v>
      </c>
      <c r="O52" s="102">
        <f t="shared" si="10"/>
        <v>4850</v>
      </c>
      <c r="P52" s="102">
        <f t="shared" si="11"/>
        <v>52.5</v>
      </c>
      <c r="Q52" s="103">
        <f t="shared" si="12"/>
        <v>5427.5</v>
      </c>
    </row>
    <row r="53" spans="1:17" s="56" customFormat="1" ht="62.2">
      <c r="A53" s="964">
        <f t="shared" si="30"/>
        <v>39</v>
      </c>
      <c r="B53" s="965"/>
      <c r="C53" s="885" t="s">
        <v>578</v>
      </c>
      <c r="D53" s="886" t="s">
        <v>1900</v>
      </c>
      <c r="E53" s="887" t="s">
        <v>136</v>
      </c>
      <c r="F53" s="887">
        <v>13</v>
      </c>
      <c r="G53" s="256">
        <v>2.1</v>
      </c>
      <c r="H53" s="582">
        <v>10</v>
      </c>
      <c r="I53" s="267">
        <f t="shared" si="28"/>
        <v>21</v>
      </c>
      <c r="J53" s="257">
        <v>495</v>
      </c>
      <c r="K53" s="389">
        <f t="shared" si="29"/>
        <v>2.1</v>
      </c>
      <c r="L53" s="102">
        <f t="shared" si="7"/>
        <v>518.1</v>
      </c>
      <c r="M53" s="50">
        <f t="shared" si="8"/>
        <v>27.3</v>
      </c>
      <c r="N53" s="102">
        <f t="shared" si="9"/>
        <v>273</v>
      </c>
      <c r="O53" s="102">
        <f t="shared" si="10"/>
        <v>6435</v>
      </c>
      <c r="P53" s="102">
        <f t="shared" si="11"/>
        <v>27.3</v>
      </c>
      <c r="Q53" s="103">
        <f t="shared" si="12"/>
        <v>6735.3</v>
      </c>
    </row>
    <row r="54" spans="1:17" s="56" customFormat="1" ht="62.2">
      <c r="A54" s="964">
        <f t="shared" si="30"/>
        <v>40</v>
      </c>
      <c r="B54" s="965"/>
      <c r="C54" s="885" t="s">
        <v>579</v>
      </c>
      <c r="D54" s="886" t="s">
        <v>1901</v>
      </c>
      <c r="E54" s="887" t="s">
        <v>136</v>
      </c>
      <c r="F54" s="887">
        <v>34</v>
      </c>
      <c r="G54" s="256">
        <v>2.1</v>
      </c>
      <c r="H54" s="582">
        <v>10</v>
      </c>
      <c r="I54" s="267">
        <f t="shared" si="28"/>
        <v>21</v>
      </c>
      <c r="J54" s="257">
        <v>153</v>
      </c>
      <c r="K54" s="389">
        <f t="shared" si="29"/>
        <v>2.1</v>
      </c>
      <c r="L54" s="102">
        <f t="shared" si="7"/>
        <v>176.1</v>
      </c>
      <c r="M54" s="50">
        <f t="shared" si="8"/>
        <v>71.400000000000006</v>
      </c>
      <c r="N54" s="102">
        <f t="shared" si="9"/>
        <v>714</v>
      </c>
      <c r="O54" s="102">
        <f t="shared" si="10"/>
        <v>5202</v>
      </c>
      <c r="P54" s="102">
        <f t="shared" si="11"/>
        <v>71.400000000000006</v>
      </c>
      <c r="Q54" s="103">
        <f t="shared" si="12"/>
        <v>5987.4</v>
      </c>
    </row>
    <row r="55" spans="1:17" s="56" customFormat="1" ht="62.2">
      <c r="A55" s="964">
        <f t="shared" si="30"/>
        <v>41</v>
      </c>
      <c r="B55" s="965"/>
      <c r="C55" s="885" t="s">
        <v>580</v>
      </c>
      <c r="D55" s="887" t="s">
        <v>1902</v>
      </c>
      <c r="E55" s="887" t="s">
        <v>136</v>
      </c>
      <c r="F55" s="887">
        <v>9</v>
      </c>
      <c r="G55" s="256">
        <v>2.1</v>
      </c>
      <c r="H55" s="582">
        <v>10</v>
      </c>
      <c r="I55" s="267">
        <f t="shared" si="28"/>
        <v>21</v>
      </c>
      <c r="J55" s="257">
        <v>315</v>
      </c>
      <c r="K55" s="389">
        <f t="shared" si="29"/>
        <v>2.1</v>
      </c>
      <c r="L55" s="102">
        <f t="shared" si="7"/>
        <v>338.1</v>
      </c>
      <c r="M55" s="50">
        <f t="shared" si="8"/>
        <v>18.899999999999999</v>
      </c>
      <c r="N55" s="102">
        <f t="shared" si="9"/>
        <v>189</v>
      </c>
      <c r="O55" s="102">
        <f t="shared" si="10"/>
        <v>2835</v>
      </c>
      <c r="P55" s="102">
        <f t="shared" si="11"/>
        <v>18.899999999999999</v>
      </c>
      <c r="Q55" s="103">
        <f t="shared" si="12"/>
        <v>3042.9</v>
      </c>
    </row>
    <row r="56" spans="1:17" s="56" customFormat="1" ht="62.2">
      <c r="A56" s="964">
        <f t="shared" si="30"/>
        <v>42</v>
      </c>
      <c r="B56" s="965"/>
      <c r="C56" s="969" t="s">
        <v>581</v>
      </c>
      <c r="D56" s="887" t="s">
        <v>1903</v>
      </c>
      <c r="E56" s="887" t="s">
        <v>136</v>
      </c>
      <c r="F56" s="887">
        <v>17</v>
      </c>
      <c r="G56" s="256">
        <v>2.1</v>
      </c>
      <c r="H56" s="582">
        <v>10</v>
      </c>
      <c r="I56" s="267">
        <f t="shared" si="28"/>
        <v>21</v>
      </c>
      <c r="J56" s="257">
        <v>95</v>
      </c>
      <c r="K56" s="389">
        <f t="shared" si="29"/>
        <v>2.1</v>
      </c>
      <c r="L56" s="102">
        <f t="shared" si="7"/>
        <v>118.1</v>
      </c>
      <c r="M56" s="50">
        <f t="shared" si="8"/>
        <v>35.700000000000003</v>
      </c>
      <c r="N56" s="102">
        <f t="shared" si="9"/>
        <v>357</v>
      </c>
      <c r="O56" s="102">
        <f t="shared" si="10"/>
        <v>1615</v>
      </c>
      <c r="P56" s="102">
        <f t="shared" si="11"/>
        <v>35.700000000000003</v>
      </c>
      <c r="Q56" s="103">
        <f t="shared" si="12"/>
        <v>2007.7</v>
      </c>
    </row>
    <row r="57" spans="1:17" s="56" customFormat="1">
      <c r="A57" s="964"/>
      <c r="B57" s="965"/>
      <c r="C57" s="968" t="s">
        <v>1429</v>
      </c>
      <c r="D57" s="887" t="s">
        <v>1884</v>
      </c>
      <c r="E57" s="887"/>
      <c r="F57" s="887"/>
      <c r="G57" s="957"/>
      <c r="H57" s="958"/>
      <c r="I57" s="959"/>
      <c r="J57" s="957"/>
      <c r="K57" s="960"/>
      <c r="L57" s="102">
        <f t="shared" si="7"/>
        <v>0</v>
      </c>
      <c r="M57" s="50">
        <f t="shared" si="8"/>
        <v>0</v>
      </c>
      <c r="N57" s="102">
        <f t="shared" si="9"/>
        <v>0</v>
      </c>
      <c r="O57" s="102">
        <f t="shared" si="10"/>
        <v>0</v>
      </c>
      <c r="P57" s="102">
        <f t="shared" si="11"/>
        <v>0</v>
      </c>
      <c r="Q57" s="103">
        <f t="shared" si="12"/>
        <v>0</v>
      </c>
    </row>
    <row r="58" spans="1:17" s="56" customFormat="1" ht="37.35">
      <c r="A58" s="964">
        <v>43</v>
      </c>
      <c r="B58" s="965"/>
      <c r="C58" s="969" t="s">
        <v>1430</v>
      </c>
      <c r="D58" s="887" t="s">
        <v>1904</v>
      </c>
      <c r="E58" s="887" t="s">
        <v>136</v>
      </c>
      <c r="F58" s="887">
        <v>2</v>
      </c>
      <c r="G58" s="256">
        <v>2.1</v>
      </c>
      <c r="H58" s="582">
        <v>10</v>
      </c>
      <c r="I58" s="267">
        <f t="shared" ref="I58:I74" si="31">ROUND(G58*H58,2)</f>
        <v>21</v>
      </c>
      <c r="J58" s="257">
        <v>55.85</v>
      </c>
      <c r="K58" s="389">
        <f t="shared" ref="K58:K74" si="32">I58*0.1</f>
        <v>2.1</v>
      </c>
      <c r="L58" s="102">
        <f t="shared" si="7"/>
        <v>78.949999999999989</v>
      </c>
      <c r="M58" s="50">
        <f t="shared" si="8"/>
        <v>4.2</v>
      </c>
      <c r="N58" s="102">
        <f t="shared" si="9"/>
        <v>42</v>
      </c>
      <c r="O58" s="102">
        <f t="shared" si="10"/>
        <v>111.7</v>
      </c>
      <c r="P58" s="102">
        <f t="shared" si="11"/>
        <v>4.2</v>
      </c>
      <c r="Q58" s="103">
        <f t="shared" si="12"/>
        <v>157.89999999999998</v>
      </c>
    </row>
    <row r="59" spans="1:17" s="56" customFormat="1" ht="49.75">
      <c r="A59" s="964">
        <f t="shared" si="30"/>
        <v>44</v>
      </c>
      <c r="B59" s="965"/>
      <c r="C59" s="969" t="s">
        <v>582</v>
      </c>
      <c r="D59" s="887" t="s">
        <v>1905</v>
      </c>
      <c r="E59" s="887" t="s">
        <v>136</v>
      </c>
      <c r="F59" s="887">
        <v>3</v>
      </c>
      <c r="G59" s="256">
        <v>2.1</v>
      </c>
      <c r="H59" s="582">
        <v>10</v>
      </c>
      <c r="I59" s="267">
        <f>ROUND(G59*H59,2)</f>
        <v>21</v>
      </c>
      <c r="J59" s="257">
        <v>55.85</v>
      </c>
      <c r="K59" s="389">
        <f>I59*0.1</f>
        <v>2.1</v>
      </c>
      <c r="L59" s="102">
        <f t="shared" si="7"/>
        <v>78.949999999999989</v>
      </c>
      <c r="M59" s="50">
        <f t="shared" si="8"/>
        <v>6.3</v>
      </c>
      <c r="N59" s="102">
        <f t="shared" si="9"/>
        <v>63</v>
      </c>
      <c r="O59" s="102">
        <f t="shared" si="10"/>
        <v>167.55</v>
      </c>
      <c r="P59" s="102">
        <f t="shared" si="11"/>
        <v>6.3</v>
      </c>
      <c r="Q59" s="103">
        <f t="shared" si="12"/>
        <v>236.85000000000002</v>
      </c>
    </row>
    <row r="60" spans="1:17" s="56" customFormat="1" ht="62.2">
      <c r="A60" s="964">
        <f t="shared" si="30"/>
        <v>45</v>
      </c>
      <c r="B60" s="965"/>
      <c r="C60" s="969" t="s">
        <v>583</v>
      </c>
      <c r="D60" s="887" t="s">
        <v>1431</v>
      </c>
      <c r="E60" s="887" t="s">
        <v>136</v>
      </c>
      <c r="F60" s="887">
        <v>20</v>
      </c>
      <c r="G60" s="256">
        <v>2.1</v>
      </c>
      <c r="H60" s="582">
        <v>10</v>
      </c>
      <c r="I60" s="267">
        <f t="shared" ref="I60:I74" si="33">ROUND(G60*H60,2)</f>
        <v>21</v>
      </c>
      <c r="J60" s="257">
        <v>75.55</v>
      </c>
      <c r="K60" s="389">
        <f t="shared" ref="K60:K74" si="34">I60*0.1</f>
        <v>2.1</v>
      </c>
      <c r="L60" s="102">
        <f t="shared" si="7"/>
        <v>98.649999999999991</v>
      </c>
      <c r="M60" s="50">
        <f t="shared" si="8"/>
        <v>42</v>
      </c>
      <c r="N60" s="102">
        <f t="shared" si="9"/>
        <v>420</v>
      </c>
      <c r="O60" s="102">
        <f t="shared" si="10"/>
        <v>1511</v>
      </c>
      <c r="P60" s="102">
        <f t="shared" si="11"/>
        <v>42</v>
      </c>
      <c r="Q60" s="103">
        <f t="shared" si="12"/>
        <v>1973</v>
      </c>
    </row>
    <row r="61" spans="1:17" s="56" customFormat="1" ht="49.75">
      <c r="A61" s="964">
        <f t="shared" si="30"/>
        <v>46</v>
      </c>
      <c r="B61" s="965"/>
      <c r="C61" s="969" t="s">
        <v>584</v>
      </c>
      <c r="D61" s="887" t="s">
        <v>1432</v>
      </c>
      <c r="E61" s="887" t="s">
        <v>136</v>
      </c>
      <c r="F61" s="887">
        <v>3</v>
      </c>
      <c r="G61" s="256">
        <v>2.1</v>
      </c>
      <c r="H61" s="582">
        <v>10</v>
      </c>
      <c r="I61" s="267">
        <f t="shared" si="33"/>
        <v>21</v>
      </c>
      <c r="J61" s="257">
        <v>75.55</v>
      </c>
      <c r="K61" s="389">
        <f t="shared" si="34"/>
        <v>2.1</v>
      </c>
      <c r="L61" s="102">
        <f t="shared" si="7"/>
        <v>98.649999999999991</v>
      </c>
      <c r="M61" s="50">
        <f t="shared" si="8"/>
        <v>6.3</v>
      </c>
      <c r="N61" s="102">
        <f t="shared" si="9"/>
        <v>63</v>
      </c>
      <c r="O61" s="102">
        <f t="shared" si="10"/>
        <v>226.65</v>
      </c>
      <c r="P61" s="102">
        <f t="shared" si="11"/>
        <v>6.3</v>
      </c>
      <c r="Q61" s="103">
        <f t="shared" si="12"/>
        <v>295.95</v>
      </c>
    </row>
    <row r="62" spans="1:17" s="56" customFormat="1" ht="49.75">
      <c r="A62" s="964">
        <f t="shared" si="30"/>
        <v>47</v>
      </c>
      <c r="B62" s="965"/>
      <c r="C62" s="969" t="s">
        <v>585</v>
      </c>
      <c r="D62" s="887" t="s">
        <v>1906</v>
      </c>
      <c r="E62" s="887" t="s">
        <v>136</v>
      </c>
      <c r="F62" s="887">
        <v>28</v>
      </c>
      <c r="G62" s="256">
        <v>2.1</v>
      </c>
      <c r="H62" s="582">
        <v>10</v>
      </c>
      <c r="I62" s="267">
        <f t="shared" si="33"/>
        <v>21</v>
      </c>
      <c r="J62" s="257">
        <v>75.55</v>
      </c>
      <c r="K62" s="389">
        <f t="shared" si="34"/>
        <v>2.1</v>
      </c>
      <c r="L62" s="102">
        <f t="shared" si="7"/>
        <v>98.649999999999991</v>
      </c>
      <c r="M62" s="50">
        <f t="shared" si="8"/>
        <v>58.8</v>
      </c>
      <c r="N62" s="102">
        <f t="shared" si="9"/>
        <v>588</v>
      </c>
      <c r="O62" s="102">
        <f t="shared" si="10"/>
        <v>2115.4</v>
      </c>
      <c r="P62" s="102">
        <f t="shared" si="11"/>
        <v>58.8</v>
      </c>
      <c r="Q62" s="103">
        <f t="shared" si="12"/>
        <v>2762.2000000000003</v>
      </c>
    </row>
    <row r="63" spans="1:17" s="56" customFormat="1" ht="49.75">
      <c r="A63" s="964">
        <f t="shared" si="30"/>
        <v>48</v>
      </c>
      <c r="B63" s="965"/>
      <c r="C63" s="969" t="s">
        <v>586</v>
      </c>
      <c r="D63" s="887" t="s">
        <v>1907</v>
      </c>
      <c r="E63" s="887" t="s">
        <v>136</v>
      </c>
      <c r="F63" s="887">
        <v>1</v>
      </c>
      <c r="G63" s="256">
        <v>2.1</v>
      </c>
      <c r="H63" s="582">
        <v>10</v>
      </c>
      <c r="I63" s="267">
        <f t="shared" si="33"/>
        <v>21</v>
      </c>
      <c r="J63" s="257">
        <v>62</v>
      </c>
      <c r="K63" s="389">
        <f t="shared" si="34"/>
        <v>2.1</v>
      </c>
      <c r="L63" s="102">
        <f t="shared" si="7"/>
        <v>85.1</v>
      </c>
      <c r="M63" s="50">
        <f t="shared" si="8"/>
        <v>2.1</v>
      </c>
      <c r="N63" s="102">
        <f t="shared" si="9"/>
        <v>21</v>
      </c>
      <c r="O63" s="102">
        <f t="shared" si="10"/>
        <v>62</v>
      </c>
      <c r="P63" s="102">
        <f t="shared" si="11"/>
        <v>2.1</v>
      </c>
      <c r="Q63" s="103">
        <f t="shared" si="12"/>
        <v>85.1</v>
      </c>
    </row>
    <row r="64" spans="1:17" s="56" customFormat="1" ht="62.2">
      <c r="A64" s="964">
        <f t="shared" si="30"/>
        <v>49</v>
      </c>
      <c r="B64" s="965"/>
      <c r="C64" s="969" t="s">
        <v>587</v>
      </c>
      <c r="D64" s="887" t="s">
        <v>1908</v>
      </c>
      <c r="E64" s="887" t="s">
        <v>136</v>
      </c>
      <c r="F64" s="887">
        <v>8</v>
      </c>
      <c r="G64" s="256">
        <v>2.1</v>
      </c>
      <c r="H64" s="582">
        <v>10</v>
      </c>
      <c r="I64" s="267">
        <f t="shared" si="33"/>
        <v>21</v>
      </c>
      <c r="J64" s="257">
        <v>55.85</v>
      </c>
      <c r="K64" s="389">
        <f t="shared" si="34"/>
        <v>2.1</v>
      </c>
      <c r="L64" s="102">
        <f t="shared" si="7"/>
        <v>78.949999999999989</v>
      </c>
      <c r="M64" s="50">
        <f t="shared" si="8"/>
        <v>16.8</v>
      </c>
      <c r="N64" s="102">
        <f t="shared" si="9"/>
        <v>168</v>
      </c>
      <c r="O64" s="102">
        <f t="shared" si="10"/>
        <v>446.8</v>
      </c>
      <c r="P64" s="102">
        <f t="shared" si="11"/>
        <v>16.8</v>
      </c>
      <c r="Q64" s="103">
        <f t="shared" si="12"/>
        <v>631.59999999999991</v>
      </c>
    </row>
    <row r="65" spans="1:17" s="56" customFormat="1" ht="49.75">
      <c r="A65" s="964">
        <f t="shared" si="30"/>
        <v>50</v>
      </c>
      <c r="B65" s="965"/>
      <c r="C65" s="969" t="s">
        <v>588</v>
      </c>
      <c r="D65" s="887" t="s">
        <v>1433</v>
      </c>
      <c r="E65" s="887" t="s">
        <v>136</v>
      </c>
      <c r="F65" s="887">
        <v>2</v>
      </c>
      <c r="G65" s="256">
        <v>2.1</v>
      </c>
      <c r="H65" s="582">
        <v>10</v>
      </c>
      <c r="I65" s="267">
        <f t="shared" si="33"/>
        <v>21</v>
      </c>
      <c r="J65" s="257">
        <v>62</v>
      </c>
      <c r="K65" s="389">
        <f t="shared" si="34"/>
        <v>2.1</v>
      </c>
      <c r="L65" s="102">
        <f t="shared" si="7"/>
        <v>85.1</v>
      </c>
      <c r="M65" s="50">
        <f t="shared" si="8"/>
        <v>4.2</v>
      </c>
      <c r="N65" s="102">
        <f t="shared" si="9"/>
        <v>42</v>
      </c>
      <c r="O65" s="102">
        <f t="shared" si="10"/>
        <v>124</v>
      </c>
      <c r="P65" s="102">
        <f t="shared" si="11"/>
        <v>4.2</v>
      </c>
      <c r="Q65" s="103">
        <f t="shared" si="12"/>
        <v>170.2</v>
      </c>
    </row>
    <row r="66" spans="1:17" s="56" customFormat="1" ht="49.75">
      <c r="A66" s="964">
        <v>51</v>
      </c>
      <c r="B66" s="965"/>
      <c r="C66" s="969" t="s">
        <v>589</v>
      </c>
      <c r="D66" s="887" t="s">
        <v>1909</v>
      </c>
      <c r="E66" s="887" t="s">
        <v>136</v>
      </c>
      <c r="F66" s="887">
        <v>37</v>
      </c>
      <c r="G66" s="256">
        <v>2.1</v>
      </c>
      <c r="H66" s="582">
        <v>10</v>
      </c>
      <c r="I66" s="267">
        <f t="shared" si="33"/>
        <v>21</v>
      </c>
      <c r="J66" s="257">
        <v>40.5</v>
      </c>
      <c r="K66" s="389">
        <f t="shared" si="34"/>
        <v>2.1</v>
      </c>
      <c r="L66" s="102">
        <f t="shared" si="7"/>
        <v>63.6</v>
      </c>
      <c r="M66" s="50">
        <f t="shared" si="8"/>
        <v>77.7</v>
      </c>
      <c r="N66" s="102">
        <f t="shared" si="9"/>
        <v>777</v>
      </c>
      <c r="O66" s="102">
        <f t="shared" si="10"/>
        <v>1498.5</v>
      </c>
      <c r="P66" s="102">
        <f t="shared" si="11"/>
        <v>77.7</v>
      </c>
      <c r="Q66" s="103">
        <f t="shared" si="12"/>
        <v>2353.1999999999998</v>
      </c>
    </row>
    <row r="67" spans="1:17" s="56" customFormat="1" ht="62.2">
      <c r="A67" s="964">
        <v>52</v>
      </c>
      <c r="B67" s="965"/>
      <c r="C67" s="969" t="s">
        <v>1434</v>
      </c>
      <c r="D67" s="887" t="s">
        <v>1910</v>
      </c>
      <c r="E67" s="887" t="s">
        <v>136</v>
      </c>
      <c r="F67" s="887">
        <v>1</v>
      </c>
      <c r="G67" s="584">
        <v>2.1</v>
      </c>
      <c r="H67" s="585">
        <v>10</v>
      </c>
      <c r="I67" s="222">
        <f t="shared" si="33"/>
        <v>21</v>
      </c>
      <c r="J67" s="588">
        <v>1200</v>
      </c>
      <c r="K67" s="584">
        <v>1.26</v>
      </c>
      <c r="L67" s="102">
        <f t="shared" si="7"/>
        <v>1222.26</v>
      </c>
      <c r="M67" s="50">
        <f t="shared" si="8"/>
        <v>2.1</v>
      </c>
      <c r="N67" s="102">
        <f t="shared" si="9"/>
        <v>21</v>
      </c>
      <c r="O67" s="102">
        <f t="shared" si="10"/>
        <v>1200</v>
      </c>
      <c r="P67" s="102">
        <f t="shared" si="11"/>
        <v>1.26</v>
      </c>
      <c r="Q67" s="103">
        <f t="shared" si="12"/>
        <v>1222.26</v>
      </c>
    </row>
    <row r="68" spans="1:17" s="56" customFormat="1">
      <c r="A68" s="964"/>
      <c r="B68" s="965"/>
      <c r="C68" s="968" t="s">
        <v>590</v>
      </c>
      <c r="D68" s="887" t="s">
        <v>1884</v>
      </c>
      <c r="E68" s="887"/>
      <c r="F68" s="887"/>
      <c r="G68" s="256"/>
      <c r="H68" s="582"/>
      <c r="I68" s="267">
        <f t="shared" si="33"/>
        <v>0</v>
      </c>
      <c r="J68" s="257"/>
      <c r="K68" s="389">
        <f t="shared" ref="K68:K74" si="35">I68*0.1</f>
        <v>0</v>
      </c>
      <c r="L68" s="102">
        <f t="shared" si="7"/>
        <v>0</v>
      </c>
      <c r="M68" s="50">
        <f t="shared" si="8"/>
        <v>0</v>
      </c>
      <c r="N68" s="102">
        <f t="shared" si="9"/>
        <v>0</v>
      </c>
      <c r="O68" s="102">
        <f t="shared" si="10"/>
        <v>0</v>
      </c>
      <c r="P68" s="102">
        <f t="shared" si="11"/>
        <v>0</v>
      </c>
      <c r="Q68" s="103">
        <f t="shared" si="12"/>
        <v>0</v>
      </c>
    </row>
    <row r="69" spans="1:17" s="56" customFormat="1" ht="62.85">
      <c r="A69" s="964">
        <v>53</v>
      </c>
      <c r="B69" s="965"/>
      <c r="C69" s="970" t="s">
        <v>1672</v>
      </c>
      <c r="D69" s="971" t="s">
        <v>1911</v>
      </c>
      <c r="E69" s="887" t="s">
        <v>136</v>
      </c>
      <c r="F69" s="971">
        <v>5</v>
      </c>
      <c r="G69" s="257">
        <v>3.5</v>
      </c>
      <c r="H69" s="586">
        <v>10</v>
      </c>
      <c r="I69" s="275">
        <f>ROUND(G69*H69,2)</f>
        <v>35</v>
      </c>
      <c r="J69" s="588">
        <v>295</v>
      </c>
      <c r="K69" s="285">
        <f t="shared" si="35"/>
        <v>3.5</v>
      </c>
      <c r="L69" s="102">
        <f t="shared" si="7"/>
        <v>333.5</v>
      </c>
      <c r="M69" s="50">
        <f t="shared" si="8"/>
        <v>17.5</v>
      </c>
      <c r="N69" s="102">
        <f t="shared" si="9"/>
        <v>175</v>
      </c>
      <c r="O69" s="102">
        <f t="shared" si="10"/>
        <v>1475</v>
      </c>
      <c r="P69" s="102">
        <f t="shared" si="11"/>
        <v>17.5</v>
      </c>
      <c r="Q69" s="103">
        <f t="shared" si="12"/>
        <v>1667.5</v>
      </c>
    </row>
    <row r="70" spans="1:17" s="56" customFormat="1" ht="75.3">
      <c r="A70" s="964">
        <v>54</v>
      </c>
      <c r="B70" s="965"/>
      <c r="C70" s="970" t="s">
        <v>1673</v>
      </c>
      <c r="D70" s="971" t="s">
        <v>1912</v>
      </c>
      <c r="E70" s="887" t="s">
        <v>136</v>
      </c>
      <c r="F70" s="971">
        <v>5</v>
      </c>
      <c r="G70" s="257">
        <v>3.5</v>
      </c>
      <c r="H70" s="586">
        <v>10</v>
      </c>
      <c r="I70" s="275">
        <f>ROUND(G70*H70,2)</f>
        <v>35</v>
      </c>
      <c r="J70" s="257">
        <v>92</v>
      </c>
      <c r="K70" s="285">
        <f>I70*0.1</f>
        <v>3.5</v>
      </c>
      <c r="L70" s="102">
        <f t="shared" ref="L70:L133" si="36">SUM(I70:K70)</f>
        <v>130.5</v>
      </c>
      <c r="M70" s="50">
        <f t="shared" ref="M70:M133" si="37">ROUND(G70*F70,2)</f>
        <v>17.5</v>
      </c>
      <c r="N70" s="102">
        <f t="shared" ref="N70:N133" si="38">ROUND(I70*F70,2)</f>
        <v>175</v>
      </c>
      <c r="O70" s="102">
        <f t="shared" ref="O70:O133" si="39">ROUND(J70*F70,2)</f>
        <v>460</v>
      </c>
      <c r="P70" s="102">
        <f t="shared" ref="P70:P133" si="40">ROUND(K70*F70,2)</f>
        <v>17.5</v>
      </c>
      <c r="Q70" s="103">
        <f t="shared" ref="Q70:Q133" si="41">SUM(N70:P70)</f>
        <v>652.5</v>
      </c>
    </row>
    <row r="71" spans="1:17" s="56" customFormat="1" ht="62.85">
      <c r="A71" s="964">
        <v>55</v>
      </c>
      <c r="B71" s="965"/>
      <c r="C71" s="970" t="s">
        <v>1674</v>
      </c>
      <c r="D71" s="971" t="s">
        <v>1913</v>
      </c>
      <c r="E71" s="886" t="s">
        <v>136</v>
      </c>
      <c r="F71" s="971">
        <v>10</v>
      </c>
      <c r="G71" s="257">
        <v>3.5</v>
      </c>
      <c r="H71" s="586">
        <v>10</v>
      </c>
      <c r="I71" s="275">
        <f t="shared" ref="I71:I74" si="42">ROUND(G71*H71,2)</f>
        <v>35</v>
      </c>
      <c r="J71" s="588">
        <v>240</v>
      </c>
      <c r="K71" s="285">
        <f t="shared" ref="K71:K74" si="43">I71*0.1</f>
        <v>3.5</v>
      </c>
      <c r="L71" s="102">
        <f t="shared" si="36"/>
        <v>278.5</v>
      </c>
      <c r="M71" s="50">
        <f t="shared" si="37"/>
        <v>35</v>
      </c>
      <c r="N71" s="102">
        <f t="shared" si="38"/>
        <v>350</v>
      </c>
      <c r="O71" s="102">
        <f t="shared" si="39"/>
        <v>2400</v>
      </c>
      <c r="P71" s="102">
        <f t="shared" si="40"/>
        <v>35</v>
      </c>
      <c r="Q71" s="103">
        <f t="shared" si="41"/>
        <v>2785</v>
      </c>
    </row>
    <row r="72" spans="1:17" s="56" customFormat="1" ht="62.2">
      <c r="A72" s="964">
        <v>56</v>
      </c>
      <c r="B72" s="965"/>
      <c r="C72" s="972" t="s">
        <v>1675</v>
      </c>
      <c r="D72" s="971" t="s">
        <v>1914</v>
      </c>
      <c r="E72" s="887" t="s">
        <v>136</v>
      </c>
      <c r="F72" s="971">
        <v>4</v>
      </c>
      <c r="G72" s="257">
        <v>3.5</v>
      </c>
      <c r="H72" s="586">
        <v>10</v>
      </c>
      <c r="I72" s="275">
        <f t="shared" si="42"/>
        <v>35</v>
      </c>
      <c r="J72" s="588">
        <v>470</v>
      </c>
      <c r="K72" s="285">
        <f t="shared" si="43"/>
        <v>3.5</v>
      </c>
      <c r="L72" s="102">
        <f t="shared" si="36"/>
        <v>508.5</v>
      </c>
      <c r="M72" s="50">
        <f t="shared" si="37"/>
        <v>14</v>
      </c>
      <c r="N72" s="102">
        <f t="shared" si="38"/>
        <v>140</v>
      </c>
      <c r="O72" s="102">
        <f t="shared" si="39"/>
        <v>1880</v>
      </c>
      <c r="P72" s="102">
        <f t="shared" si="40"/>
        <v>14</v>
      </c>
      <c r="Q72" s="103">
        <f t="shared" si="41"/>
        <v>2034</v>
      </c>
    </row>
    <row r="73" spans="1:17" s="56" customFormat="1" ht="62.85">
      <c r="A73" s="964">
        <f>A72+1</f>
        <v>57</v>
      </c>
      <c r="B73" s="965"/>
      <c r="C73" s="970" t="s">
        <v>1676</v>
      </c>
      <c r="D73" s="971" t="s">
        <v>1915</v>
      </c>
      <c r="E73" s="887" t="s">
        <v>136</v>
      </c>
      <c r="F73" s="971">
        <v>3</v>
      </c>
      <c r="G73" s="257">
        <v>3.5</v>
      </c>
      <c r="H73" s="586">
        <v>10</v>
      </c>
      <c r="I73" s="275">
        <f t="shared" si="42"/>
        <v>35</v>
      </c>
      <c r="J73" s="588">
        <v>360</v>
      </c>
      <c r="K73" s="285">
        <f t="shared" si="43"/>
        <v>3.5</v>
      </c>
      <c r="L73" s="102">
        <f t="shared" si="36"/>
        <v>398.5</v>
      </c>
      <c r="M73" s="50">
        <f t="shared" si="37"/>
        <v>10.5</v>
      </c>
      <c r="N73" s="102">
        <f t="shared" si="38"/>
        <v>105</v>
      </c>
      <c r="O73" s="102">
        <f t="shared" si="39"/>
        <v>1080</v>
      </c>
      <c r="P73" s="102">
        <f t="shared" si="40"/>
        <v>10.5</v>
      </c>
      <c r="Q73" s="103">
        <f t="shared" si="41"/>
        <v>1195.5</v>
      </c>
    </row>
    <row r="74" spans="1:17" s="56" customFormat="1" ht="62.2">
      <c r="A74" s="964">
        <f t="shared" ref="A74:A85" si="44">A73+1</f>
        <v>58</v>
      </c>
      <c r="B74" s="965"/>
      <c r="C74" s="972" t="s">
        <v>1677</v>
      </c>
      <c r="D74" s="971" t="s">
        <v>1916</v>
      </c>
      <c r="E74" s="887" t="s">
        <v>136</v>
      </c>
      <c r="F74" s="971">
        <v>3</v>
      </c>
      <c r="G74" s="257">
        <v>3.5</v>
      </c>
      <c r="H74" s="586">
        <v>10</v>
      </c>
      <c r="I74" s="275">
        <f t="shared" si="42"/>
        <v>35</v>
      </c>
      <c r="J74" s="588">
        <v>360</v>
      </c>
      <c r="K74" s="285">
        <f t="shared" si="43"/>
        <v>3.5</v>
      </c>
      <c r="L74" s="102">
        <f t="shared" si="36"/>
        <v>398.5</v>
      </c>
      <c r="M74" s="50">
        <f t="shared" si="37"/>
        <v>10.5</v>
      </c>
      <c r="N74" s="102">
        <f t="shared" si="38"/>
        <v>105</v>
      </c>
      <c r="O74" s="102">
        <f t="shared" si="39"/>
        <v>1080</v>
      </c>
      <c r="P74" s="102">
        <f t="shared" si="40"/>
        <v>10.5</v>
      </c>
      <c r="Q74" s="103">
        <f t="shared" si="41"/>
        <v>1195.5</v>
      </c>
    </row>
    <row r="75" spans="1:17" s="56" customFormat="1">
      <c r="A75" s="964"/>
      <c r="B75" s="965"/>
      <c r="C75" s="973" t="s">
        <v>591</v>
      </c>
      <c r="D75" s="974" t="s">
        <v>1884</v>
      </c>
      <c r="E75" s="887"/>
      <c r="F75" s="975"/>
      <c r="G75" s="957"/>
      <c r="H75" s="958"/>
      <c r="I75" s="959"/>
      <c r="J75" s="957"/>
      <c r="K75" s="960"/>
      <c r="L75" s="102">
        <f t="shared" si="36"/>
        <v>0</v>
      </c>
      <c r="M75" s="50">
        <f t="shared" si="37"/>
        <v>0</v>
      </c>
      <c r="N75" s="102">
        <f t="shared" si="38"/>
        <v>0</v>
      </c>
      <c r="O75" s="102">
        <f t="shared" si="39"/>
        <v>0</v>
      </c>
      <c r="P75" s="102">
        <f t="shared" si="40"/>
        <v>0</v>
      </c>
      <c r="Q75" s="103">
        <f t="shared" si="41"/>
        <v>0</v>
      </c>
    </row>
    <row r="76" spans="1:17" s="56" customFormat="1">
      <c r="A76" s="964">
        <v>59</v>
      </c>
      <c r="B76" s="965"/>
      <c r="C76" s="885" t="s">
        <v>592</v>
      </c>
      <c r="D76" s="886" t="s">
        <v>1917</v>
      </c>
      <c r="E76" s="887" t="s">
        <v>136</v>
      </c>
      <c r="F76" s="886">
        <v>8</v>
      </c>
      <c r="G76" s="257">
        <v>1.1000000000000001</v>
      </c>
      <c r="H76" s="582">
        <v>10</v>
      </c>
      <c r="I76" s="275">
        <f t="shared" ref="I76:I90" si="45">ROUND(G76*H76,2)</f>
        <v>11</v>
      </c>
      <c r="J76" s="257">
        <v>3.5</v>
      </c>
      <c r="K76" s="389">
        <f t="shared" ref="K76:K90" si="46">I76*0.1</f>
        <v>1.1000000000000001</v>
      </c>
      <c r="L76" s="102">
        <f t="shared" si="36"/>
        <v>15.6</v>
      </c>
      <c r="M76" s="50">
        <f t="shared" si="37"/>
        <v>8.8000000000000007</v>
      </c>
      <c r="N76" s="102">
        <f t="shared" si="38"/>
        <v>88</v>
      </c>
      <c r="O76" s="102">
        <f t="shared" si="39"/>
        <v>28</v>
      </c>
      <c r="P76" s="102">
        <f t="shared" si="40"/>
        <v>8.8000000000000007</v>
      </c>
      <c r="Q76" s="103">
        <f t="shared" si="41"/>
        <v>124.8</v>
      </c>
    </row>
    <row r="77" spans="1:17" s="56" customFormat="1" ht="24.9">
      <c r="A77" s="964">
        <f t="shared" si="44"/>
        <v>60</v>
      </c>
      <c r="B77" s="965"/>
      <c r="C77" s="885" t="s">
        <v>593</v>
      </c>
      <c r="D77" s="886" t="s">
        <v>1918</v>
      </c>
      <c r="E77" s="887" t="s">
        <v>136</v>
      </c>
      <c r="F77" s="886">
        <v>14</v>
      </c>
      <c r="G77" s="257">
        <v>1.4</v>
      </c>
      <c r="H77" s="582">
        <v>10</v>
      </c>
      <c r="I77" s="275">
        <f t="shared" si="45"/>
        <v>14</v>
      </c>
      <c r="J77" s="257">
        <v>13.59</v>
      </c>
      <c r="K77" s="389">
        <f t="shared" si="46"/>
        <v>1.4000000000000001</v>
      </c>
      <c r="L77" s="102">
        <f t="shared" si="36"/>
        <v>28.99</v>
      </c>
      <c r="M77" s="50">
        <f t="shared" si="37"/>
        <v>19.600000000000001</v>
      </c>
      <c r="N77" s="102">
        <f t="shared" si="38"/>
        <v>196</v>
      </c>
      <c r="O77" s="102">
        <f t="shared" si="39"/>
        <v>190.26</v>
      </c>
      <c r="P77" s="102">
        <f t="shared" si="40"/>
        <v>19.600000000000001</v>
      </c>
      <c r="Q77" s="103">
        <f t="shared" si="41"/>
        <v>405.86</v>
      </c>
    </row>
    <row r="78" spans="1:17" s="56" customFormat="1" ht="24.9">
      <c r="A78" s="964">
        <f t="shared" si="44"/>
        <v>61</v>
      </c>
      <c r="B78" s="965"/>
      <c r="C78" s="885" t="s">
        <v>594</v>
      </c>
      <c r="D78" s="886" t="s">
        <v>1919</v>
      </c>
      <c r="E78" s="887" t="s">
        <v>136</v>
      </c>
      <c r="F78" s="886">
        <v>1</v>
      </c>
      <c r="G78" s="257">
        <v>1.1000000000000001</v>
      </c>
      <c r="H78" s="582">
        <v>10</v>
      </c>
      <c r="I78" s="275">
        <f t="shared" si="45"/>
        <v>11</v>
      </c>
      <c r="J78" s="257">
        <v>4.4000000000000004</v>
      </c>
      <c r="K78" s="389">
        <f t="shared" si="46"/>
        <v>1.1000000000000001</v>
      </c>
      <c r="L78" s="102">
        <f t="shared" si="36"/>
        <v>16.5</v>
      </c>
      <c r="M78" s="50">
        <f t="shared" si="37"/>
        <v>1.1000000000000001</v>
      </c>
      <c r="N78" s="102">
        <f t="shared" si="38"/>
        <v>11</v>
      </c>
      <c r="O78" s="102">
        <f t="shared" si="39"/>
        <v>4.4000000000000004</v>
      </c>
      <c r="P78" s="102">
        <f t="shared" si="40"/>
        <v>1.1000000000000001</v>
      </c>
      <c r="Q78" s="103">
        <f t="shared" si="41"/>
        <v>16.5</v>
      </c>
    </row>
    <row r="79" spans="1:17" s="56" customFormat="1">
      <c r="A79" s="964">
        <f t="shared" si="44"/>
        <v>62</v>
      </c>
      <c r="B79" s="965"/>
      <c r="C79" s="885" t="s">
        <v>595</v>
      </c>
      <c r="D79" s="886" t="s">
        <v>1920</v>
      </c>
      <c r="E79" s="887" t="s">
        <v>136</v>
      </c>
      <c r="F79" s="886">
        <v>3</v>
      </c>
      <c r="G79" s="257">
        <v>1.1000000000000001</v>
      </c>
      <c r="H79" s="582">
        <v>10</v>
      </c>
      <c r="I79" s="275">
        <f t="shared" si="45"/>
        <v>11</v>
      </c>
      <c r="J79" s="257">
        <v>3.6</v>
      </c>
      <c r="K79" s="389">
        <f t="shared" si="46"/>
        <v>1.1000000000000001</v>
      </c>
      <c r="L79" s="102">
        <f t="shared" si="36"/>
        <v>15.7</v>
      </c>
      <c r="M79" s="50">
        <f t="shared" si="37"/>
        <v>3.3</v>
      </c>
      <c r="N79" s="102">
        <f t="shared" si="38"/>
        <v>33</v>
      </c>
      <c r="O79" s="102">
        <f t="shared" si="39"/>
        <v>10.8</v>
      </c>
      <c r="P79" s="102">
        <f t="shared" si="40"/>
        <v>3.3</v>
      </c>
      <c r="Q79" s="103">
        <f t="shared" si="41"/>
        <v>47.099999999999994</v>
      </c>
    </row>
    <row r="80" spans="1:17" s="56" customFormat="1">
      <c r="A80" s="964">
        <f t="shared" si="44"/>
        <v>63</v>
      </c>
      <c r="B80" s="965"/>
      <c r="C80" s="885" t="s">
        <v>596</v>
      </c>
      <c r="D80" s="886" t="s">
        <v>1921</v>
      </c>
      <c r="E80" s="887" t="s">
        <v>136</v>
      </c>
      <c r="F80" s="886">
        <v>5</v>
      </c>
      <c r="G80" s="257">
        <v>1.2</v>
      </c>
      <c r="H80" s="582">
        <v>10</v>
      </c>
      <c r="I80" s="275">
        <f t="shared" si="45"/>
        <v>12</v>
      </c>
      <c r="J80" s="257">
        <v>4.5</v>
      </c>
      <c r="K80" s="389">
        <f t="shared" si="46"/>
        <v>1.2000000000000002</v>
      </c>
      <c r="L80" s="102">
        <f t="shared" si="36"/>
        <v>17.7</v>
      </c>
      <c r="M80" s="50">
        <f t="shared" si="37"/>
        <v>6</v>
      </c>
      <c r="N80" s="102">
        <f t="shared" si="38"/>
        <v>60</v>
      </c>
      <c r="O80" s="102">
        <f t="shared" si="39"/>
        <v>22.5</v>
      </c>
      <c r="P80" s="102">
        <f t="shared" si="40"/>
        <v>6</v>
      </c>
      <c r="Q80" s="103">
        <f t="shared" si="41"/>
        <v>88.5</v>
      </c>
    </row>
    <row r="81" spans="1:17" s="56" customFormat="1">
      <c r="A81" s="964">
        <f t="shared" si="44"/>
        <v>64</v>
      </c>
      <c r="B81" s="965"/>
      <c r="C81" s="885" t="s">
        <v>597</v>
      </c>
      <c r="D81" s="886" t="s">
        <v>1922</v>
      </c>
      <c r="E81" s="887" t="s">
        <v>136</v>
      </c>
      <c r="F81" s="886">
        <v>6</v>
      </c>
      <c r="G81" s="257">
        <v>1.2</v>
      </c>
      <c r="H81" s="582">
        <v>10</v>
      </c>
      <c r="I81" s="275">
        <f t="shared" si="45"/>
        <v>12</v>
      </c>
      <c r="J81" s="257">
        <v>8.75</v>
      </c>
      <c r="K81" s="389">
        <f t="shared" si="46"/>
        <v>1.2000000000000002</v>
      </c>
      <c r="L81" s="102">
        <f t="shared" si="36"/>
        <v>21.95</v>
      </c>
      <c r="M81" s="50">
        <f t="shared" si="37"/>
        <v>7.2</v>
      </c>
      <c r="N81" s="102">
        <f t="shared" si="38"/>
        <v>72</v>
      </c>
      <c r="O81" s="102">
        <f t="shared" si="39"/>
        <v>52.5</v>
      </c>
      <c r="P81" s="102">
        <f t="shared" si="40"/>
        <v>7.2</v>
      </c>
      <c r="Q81" s="103">
        <f t="shared" si="41"/>
        <v>131.69999999999999</v>
      </c>
    </row>
    <row r="82" spans="1:17" s="56" customFormat="1">
      <c r="A82" s="964">
        <f t="shared" si="44"/>
        <v>65</v>
      </c>
      <c r="B82" s="965"/>
      <c r="C82" s="885" t="s">
        <v>598</v>
      </c>
      <c r="D82" s="886" t="s">
        <v>1923</v>
      </c>
      <c r="E82" s="887" t="s">
        <v>136</v>
      </c>
      <c r="F82" s="886">
        <v>1</v>
      </c>
      <c r="G82" s="257">
        <v>1.1000000000000001</v>
      </c>
      <c r="H82" s="582">
        <v>10</v>
      </c>
      <c r="I82" s="275">
        <f t="shared" si="45"/>
        <v>11</v>
      </c>
      <c r="J82" s="257">
        <v>5.53</v>
      </c>
      <c r="K82" s="389">
        <f t="shared" si="46"/>
        <v>1.1000000000000001</v>
      </c>
      <c r="L82" s="102">
        <f t="shared" si="36"/>
        <v>17.630000000000003</v>
      </c>
      <c r="M82" s="50">
        <f t="shared" si="37"/>
        <v>1.1000000000000001</v>
      </c>
      <c r="N82" s="102">
        <f t="shared" si="38"/>
        <v>11</v>
      </c>
      <c r="O82" s="102">
        <f t="shared" si="39"/>
        <v>5.53</v>
      </c>
      <c r="P82" s="102">
        <f t="shared" si="40"/>
        <v>1.1000000000000001</v>
      </c>
      <c r="Q82" s="103">
        <f t="shared" si="41"/>
        <v>17.630000000000003</v>
      </c>
    </row>
    <row r="83" spans="1:17" s="56" customFormat="1">
      <c r="A83" s="964">
        <v>66</v>
      </c>
      <c r="B83" s="965"/>
      <c r="C83" s="885" t="s">
        <v>1678</v>
      </c>
      <c r="D83" s="886" t="s">
        <v>1923</v>
      </c>
      <c r="E83" s="887" t="s">
        <v>136</v>
      </c>
      <c r="F83" s="886">
        <v>7</v>
      </c>
      <c r="G83" s="736">
        <v>1.1000000000000001</v>
      </c>
      <c r="H83" s="715">
        <v>10</v>
      </c>
      <c r="I83" s="709">
        <f t="shared" si="45"/>
        <v>11</v>
      </c>
      <c r="J83" s="736">
        <v>5.5</v>
      </c>
      <c r="K83" s="255">
        <f t="shared" si="46"/>
        <v>1.1000000000000001</v>
      </c>
      <c r="L83" s="102">
        <f t="shared" si="36"/>
        <v>17.600000000000001</v>
      </c>
      <c r="M83" s="50">
        <f t="shared" si="37"/>
        <v>7.7</v>
      </c>
      <c r="N83" s="102">
        <f t="shared" si="38"/>
        <v>77</v>
      </c>
      <c r="O83" s="102">
        <f t="shared" si="39"/>
        <v>38.5</v>
      </c>
      <c r="P83" s="102">
        <f t="shared" si="40"/>
        <v>7.7</v>
      </c>
      <c r="Q83" s="103">
        <f t="shared" si="41"/>
        <v>123.2</v>
      </c>
    </row>
    <row r="84" spans="1:17" s="56" customFormat="1" ht="24.9">
      <c r="A84" s="964">
        <v>67</v>
      </c>
      <c r="B84" s="965"/>
      <c r="C84" s="885" t="s">
        <v>599</v>
      </c>
      <c r="D84" s="886" t="s">
        <v>1924</v>
      </c>
      <c r="E84" s="887" t="s">
        <v>136</v>
      </c>
      <c r="F84" s="887">
        <v>7</v>
      </c>
      <c r="G84" s="257">
        <v>1.4</v>
      </c>
      <c r="H84" s="582">
        <v>10</v>
      </c>
      <c r="I84" s="275">
        <f t="shared" si="45"/>
        <v>14</v>
      </c>
      <c r="J84" s="257">
        <v>85</v>
      </c>
      <c r="K84" s="389">
        <f t="shared" si="46"/>
        <v>1.4000000000000001</v>
      </c>
      <c r="L84" s="102">
        <f t="shared" si="36"/>
        <v>100.4</v>
      </c>
      <c r="M84" s="50">
        <f t="shared" si="37"/>
        <v>9.8000000000000007</v>
      </c>
      <c r="N84" s="102">
        <f t="shared" si="38"/>
        <v>98</v>
      </c>
      <c r="O84" s="102">
        <f t="shared" si="39"/>
        <v>595</v>
      </c>
      <c r="P84" s="102">
        <f t="shared" si="40"/>
        <v>9.8000000000000007</v>
      </c>
      <c r="Q84" s="103">
        <f t="shared" si="41"/>
        <v>702.8</v>
      </c>
    </row>
    <row r="85" spans="1:17" s="56" customFormat="1" ht="24.9">
      <c r="A85" s="964">
        <f t="shared" si="44"/>
        <v>68</v>
      </c>
      <c r="B85" s="965"/>
      <c r="C85" s="885" t="s">
        <v>600</v>
      </c>
      <c r="D85" s="886" t="s">
        <v>1925</v>
      </c>
      <c r="E85" s="887" t="s">
        <v>136</v>
      </c>
      <c r="F85" s="887">
        <v>9</v>
      </c>
      <c r="G85" s="257">
        <v>1.4</v>
      </c>
      <c r="H85" s="582">
        <v>10</v>
      </c>
      <c r="I85" s="275">
        <f t="shared" si="45"/>
        <v>14</v>
      </c>
      <c r="J85" s="257">
        <v>94</v>
      </c>
      <c r="K85" s="389">
        <f t="shared" si="46"/>
        <v>1.4000000000000001</v>
      </c>
      <c r="L85" s="102">
        <f t="shared" si="36"/>
        <v>109.4</v>
      </c>
      <c r="M85" s="50">
        <f t="shared" si="37"/>
        <v>12.6</v>
      </c>
      <c r="N85" s="102">
        <f t="shared" si="38"/>
        <v>126</v>
      </c>
      <c r="O85" s="102">
        <f t="shared" si="39"/>
        <v>846</v>
      </c>
      <c r="P85" s="102">
        <f t="shared" si="40"/>
        <v>12.6</v>
      </c>
      <c r="Q85" s="103">
        <f t="shared" si="41"/>
        <v>984.6</v>
      </c>
    </row>
    <row r="86" spans="1:17" s="56" customFormat="1" ht="24.9">
      <c r="A86" s="964">
        <v>69</v>
      </c>
      <c r="B86" s="965"/>
      <c r="C86" s="885" t="s">
        <v>601</v>
      </c>
      <c r="D86" s="886" t="s">
        <v>1926</v>
      </c>
      <c r="E86" s="739" t="s">
        <v>136</v>
      </c>
      <c r="F86" s="887">
        <v>5</v>
      </c>
      <c r="G86" s="257">
        <v>1.4</v>
      </c>
      <c r="H86" s="582">
        <v>10</v>
      </c>
      <c r="I86" s="275">
        <f t="shared" si="45"/>
        <v>14</v>
      </c>
      <c r="J86" s="257">
        <v>139</v>
      </c>
      <c r="K86" s="389">
        <f t="shared" si="46"/>
        <v>1.4000000000000001</v>
      </c>
      <c r="L86" s="102">
        <f t="shared" si="36"/>
        <v>154.4</v>
      </c>
      <c r="M86" s="50">
        <f t="shared" si="37"/>
        <v>7</v>
      </c>
      <c r="N86" s="102">
        <f t="shared" si="38"/>
        <v>70</v>
      </c>
      <c r="O86" s="102">
        <f t="shared" si="39"/>
        <v>695</v>
      </c>
      <c r="P86" s="102">
        <f t="shared" si="40"/>
        <v>7</v>
      </c>
      <c r="Q86" s="103">
        <f t="shared" si="41"/>
        <v>772</v>
      </c>
    </row>
    <row r="87" spans="1:17" s="56" customFormat="1" ht="24.9">
      <c r="A87" s="964">
        <v>70</v>
      </c>
      <c r="B87" s="965"/>
      <c r="C87" s="885" t="s">
        <v>602</v>
      </c>
      <c r="D87" s="886" t="s">
        <v>1927</v>
      </c>
      <c r="E87" s="739" t="s">
        <v>136</v>
      </c>
      <c r="F87" s="887">
        <v>3</v>
      </c>
      <c r="G87" s="257">
        <v>1.4</v>
      </c>
      <c r="H87" s="582">
        <v>10</v>
      </c>
      <c r="I87" s="275">
        <f t="shared" si="45"/>
        <v>14</v>
      </c>
      <c r="J87" s="257">
        <v>139</v>
      </c>
      <c r="K87" s="285">
        <f t="shared" si="46"/>
        <v>1.4000000000000001</v>
      </c>
      <c r="L87" s="102">
        <f t="shared" si="36"/>
        <v>154.4</v>
      </c>
      <c r="M87" s="50">
        <f t="shared" si="37"/>
        <v>4.2</v>
      </c>
      <c r="N87" s="102">
        <f t="shared" si="38"/>
        <v>42</v>
      </c>
      <c r="O87" s="102">
        <f t="shared" si="39"/>
        <v>417</v>
      </c>
      <c r="P87" s="102">
        <f t="shared" si="40"/>
        <v>4.2</v>
      </c>
      <c r="Q87" s="103">
        <f t="shared" si="41"/>
        <v>463.2</v>
      </c>
    </row>
    <row r="88" spans="1:17" s="56" customFormat="1" ht="24.9">
      <c r="A88" s="964">
        <f>A87+1</f>
        <v>71</v>
      </c>
      <c r="B88" s="965"/>
      <c r="C88" s="885" t="s">
        <v>603</v>
      </c>
      <c r="D88" s="886" t="s">
        <v>1928</v>
      </c>
      <c r="E88" s="739" t="s">
        <v>136</v>
      </c>
      <c r="F88" s="887">
        <v>16</v>
      </c>
      <c r="G88" s="257">
        <v>1.4</v>
      </c>
      <c r="H88" s="582">
        <v>10</v>
      </c>
      <c r="I88" s="275">
        <f t="shared" si="45"/>
        <v>14</v>
      </c>
      <c r="J88" s="257">
        <v>145</v>
      </c>
      <c r="K88" s="389">
        <f t="shared" si="46"/>
        <v>1.4000000000000001</v>
      </c>
      <c r="L88" s="102">
        <f t="shared" si="36"/>
        <v>160.4</v>
      </c>
      <c r="M88" s="50">
        <f t="shared" si="37"/>
        <v>22.4</v>
      </c>
      <c r="N88" s="102">
        <f t="shared" si="38"/>
        <v>224</v>
      </c>
      <c r="O88" s="102">
        <f t="shared" si="39"/>
        <v>2320</v>
      </c>
      <c r="P88" s="102">
        <f t="shared" si="40"/>
        <v>22.4</v>
      </c>
      <c r="Q88" s="103">
        <f t="shared" si="41"/>
        <v>2566.4</v>
      </c>
    </row>
    <row r="89" spans="1:17" s="56" customFormat="1">
      <c r="A89" s="964">
        <f t="shared" ref="A89:A109" si="47">A88+1</f>
        <v>72</v>
      </c>
      <c r="B89" s="965"/>
      <c r="C89" s="885" t="s">
        <v>604</v>
      </c>
      <c r="D89" s="886" t="s">
        <v>1929</v>
      </c>
      <c r="E89" s="739" t="s">
        <v>136</v>
      </c>
      <c r="F89" s="739">
        <v>1</v>
      </c>
      <c r="G89" s="257">
        <v>4</v>
      </c>
      <c r="H89" s="582">
        <v>10</v>
      </c>
      <c r="I89" s="275">
        <f t="shared" si="45"/>
        <v>40</v>
      </c>
      <c r="J89" s="257">
        <v>45</v>
      </c>
      <c r="K89" s="389">
        <f t="shared" si="46"/>
        <v>4</v>
      </c>
      <c r="L89" s="102">
        <f t="shared" si="36"/>
        <v>89</v>
      </c>
      <c r="M89" s="50">
        <f t="shared" si="37"/>
        <v>4</v>
      </c>
      <c r="N89" s="102">
        <f t="shared" si="38"/>
        <v>40</v>
      </c>
      <c r="O89" s="102">
        <f t="shared" si="39"/>
        <v>45</v>
      </c>
      <c r="P89" s="102">
        <f t="shared" si="40"/>
        <v>4</v>
      </c>
      <c r="Q89" s="103">
        <f t="shared" si="41"/>
        <v>89</v>
      </c>
    </row>
    <row r="90" spans="1:17" s="56" customFormat="1">
      <c r="A90" s="964">
        <f t="shared" si="47"/>
        <v>73</v>
      </c>
      <c r="B90" s="965"/>
      <c r="C90" s="885" t="s">
        <v>605</v>
      </c>
      <c r="D90" s="886" t="s">
        <v>1884</v>
      </c>
      <c r="E90" s="739" t="s">
        <v>118</v>
      </c>
      <c r="F90" s="739">
        <v>82</v>
      </c>
      <c r="G90" s="257">
        <v>0.3</v>
      </c>
      <c r="H90" s="582">
        <v>10</v>
      </c>
      <c r="I90" s="275">
        <f t="shared" si="45"/>
        <v>3</v>
      </c>
      <c r="J90" s="257">
        <v>0.9</v>
      </c>
      <c r="K90" s="389">
        <f t="shared" si="46"/>
        <v>0.30000000000000004</v>
      </c>
      <c r="L90" s="102">
        <f t="shared" si="36"/>
        <v>4.2</v>
      </c>
      <c r="M90" s="50">
        <f t="shared" si="37"/>
        <v>24.6</v>
      </c>
      <c r="N90" s="102">
        <f t="shared" si="38"/>
        <v>246</v>
      </c>
      <c r="O90" s="102">
        <f t="shared" si="39"/>
        <v>73.8</v>
      </c>
      <c r="P90" s="102">
        <f t="shared" si="40"/>
        <v>24.6</v>
      </c>
      <c r="Q90" s="103">
        <f t="shared" si="41"/>
        <v>344.40000000000003</v>
      </c>
    </row>
    <row r="91" spans="1:17" s="56" customFormat="1">
      <c r="A91" s="964"/>
      <c r="B91" s="965"/>
      <c r="C91" s="962" t="s">
        <v>606</v>
      </c>
      <c r="D91" s="886" t="s">
        <v>1884</v>
      </c>
      <c r="E91" s="739"/>
      <c r="F91" s="739"/>
      <c r="G91" s="957"/>
      <c r="H91" s="958"/>
      <c r="I91" s="959"/>
      <c r="J91" s="957"/>
      <c r="K91" s="960"/>
      <c r="L91" s="102">
        <f t="shared" si="36"/>
        <v>0</v>
      </c>
      <c r="M91" s="50">
        <f t="shared" si="37"/>
        <v>0</v>
      </c>
      <c r="N91" s="102">
        <f t="shared" si="38"/>
        <v>0</v>
      </c>
      <c r="O91" s="102">
        <f t="shared" si="39"/>
        <v>0</v>
      </c>
      <c r="P91" s="102">
        <f t="shared" si="40"/>
        <v>0</v>
      </c>
      <c r="Q91" s="103">
        <f t="shared" si="41"/>
        <v>0</v>
      </c>
    </row>
    <row r="92" spans="1:17" s="56" customFormat="1">
      <c r="A92" s="964">
        <v>74</v>
      </c>
      <c r="B92" s="965"/>
      <c r="C92" s="885" t="s">
        <v>607</v>
      </c>
      <c r="D92" s="886" t="s">
        <v>1930</v>
      </c>
      <c r="E92" s="739" t="s">
        <v>111</v>
      </c>
      <c r="F92" s="739">
        <v>500</v>
      </c>
      <c r="G92" s="257">
        <v>0.1</v>
      </c>
      <c r="H92" s="586">
        <v>10</v>
      </c>
      <c r="I92" s="275">
        <f t="shared" ref="I92:I116" si="48">ROUND(G92*H92,2)</f>
        <v>1</v>
      </c>
      <c r="J92" s="257">
        <v>92.2</v>
      </c>
      <c r="K92" s="389">
        <f t="shared" ref="K92:K116" si="49">I92*0.1</f>
        <v>0.1</v>
      </c>
      <c r="L92" s="102">
        <f t="shared" si="36"/>
        <v>93.3</v>
      </c>
      <c r="M92" s="50">
        <f t="shared" si="37"/>
        <v>50</v>
      </c>
      <c r="N92" s="102">
        <f t="shared" si="38"/>
        <v>500</v>
      </c>
      <c r="O92" s="102">
        <f t="shared" si="39"/>
        <v>46100</v>
      </c>
      <c r="P92" s="102">
        <f t="shared" si="40"/>
        <v>50</v>
      </c>
      <c r="Q92" s="103">
        <f t="shared" si="41"/>
        <v>46650</v>
      </c>
    </row>
    <row r="93" spans="1:17" s="56" customFormat="1">
      <c r="A93" s="964">
        <v>75</v>
      </c>
      <c r="B93" s="965"/>
      <c r="C93" s="885" t="s">
        <v>608</v>
      </c>
      <c r="D93" s="886" t="s">
        <v>1930</v>
      </c>
      <c r="E93" s="739" t="s">
        <v>111</v>
      </c>
      <c r="F93" s="739">
        <v>80</v>
      </c>
      <c r="G93" s="257">
        <v>0.08</v>
      </c>
      <c r="H93" s="586">
        <v>10</v>
      </c>
      <c r="I93" s="275">
        <f t="shared" si="48"/>
        <v>0.8</v>
      </c>
      <c r="J93" s="257">
        <v>60.24</v>
      </c>
      <c r="K93" s="389">
        <f t="shared" si="49"/>
        <v>8.0000000000000016E-2</v>
      </c>
      <c r="L93" s="102">
        <f t="shared" si="36"/>
        <v>61.12</v>
      </c>
      <c r="M93" s="50">
        <f t="shared" si="37"/>
        <v>6.4</v>
      </c>
      <c r="N93" s="102">
        <f t="shared" si="38"/>
        <v>64</v>
      </c>
      <c r="O93" s="102">
        <f t="shared" si="39"/>
        <v>4819.2</v>
      </c>
      <c r="P93" s="102">
        <f t="shared" si="40"/>
        <v>6.4</v>
      </c>
      <c r="Q93" s="103">
        <f t="shared" si="41"/>
        <v>4889.5999999999995</v>
      </c>
    </row>
    <row r="94" spans="1:17" s="56" customFormat="1">
      <c r="A94" s="964">
        <f t="shared" si="47"/>
        <v>76</v>
      </c>
      <c r="B94" s="965"/>
      <c r="C94" s="885" t="s">
        <v>1679</v>
      </c>
      <c r="D94" s="886" t="s">
        <v>1930</v>
      </c>
      <c r="E94" s="739" t="s">
        <v>111</v>
      </c>
      <c r="F94" s="739">
        <v>90</v>
      </c>
      <c r="G94" s="257">
        <v>0.08</v>
      </c>
      <c r="H94" s="586">
        <v>10</v>
      </c>
      <c r="I94" s="275">
        <f t="shared" si="48"/>
        <v>0.8</v>
      </c>
      <c r="J94" s="257">
        <v>18.55</v>
      </c>
      <c r="K94" s="389">
        <f t="shared" si="49"/>
        <v>8.0000000000000016E-2</v>
      </c>
      <c r="L94" s="102">
        <f t="shared" si="36"/>
        <v>19.43</v>
      </c>
      <c r="M94" s="50">
        <f t="shared" si="37"/>
        <v>7.2</v>
      </c>
      <c r="N94" s="102">
        <f t="shared" si="38"/>
        <v>72</v>
      </c>
      <c r="O94" s="102">
        <f t="shared" si="39"/>
        <v>1669.5</v>
      </c>
      <c r="P94" s="102">
        <f t="shared" si="40"/>
        <v>7.2</v>
      </c>
      <c r="Q94" s="103">
        <f t="shared" si="41"/>
        <v>1748.7</v>
      </c>
    </row>
    <row r="95" spans="1:17" s="56" customFormat="1">
      <c r="A95" s="964">
        <v>77</v>
      </c>
      <c r="B95" s="965"/>
      <c r="C95" s="885" t="s">
        <v>609</v>
      </c>
      <c r="D95" s="886" t="s">
        <v>1930</v>
      </c>
      <c r="E95" s="739" t="s">
        <v>111</v>
      </c>
      <c r="F95" s="739">
        <v>95</v>
      </c>
      <c r="G95" s="257">
        <v>0.08</v>
      </c>
      <c r="H95" s="586">
        <v>10</v>
      </c>
      <c r="I95" s="275">
        <f t="shared" si="48"/>
        <v>0.8</v>
      </c>
      <c r="J95" s="257">
        <v>8.73</v>
      </c>
      <c r="K95" s="389">
        <f t="shared" si="49"/>
        <v>8.0000000000000016E-2</v>
      </c>
      <c r="L95" s="102">
        <f t="shared" si="36"/>
        <v>9.6100000000000012</v>
      </c>
      <c r="M95" s="50">
        <f t="shared" si="37"/>
        <v>7.6</v>
      </c>
      <c r="N95" s="102">
        <f t="shared" si="38"/>
        <v>76</v>
      </c>
      <c r="O95" s="102">
        <f t="shared" si="39"/>
        <v>829.35</v>
      </c>
      <c r="P95" s="102">
        <f t="shared" si="40"/>
        <v>7.6</v>
      </c>
      <c r="Q95" s="103">
        <f t="shared" si="41"/>
        <v>912.95</v>
      </c>
    </row>
    <row r="96" spans="1:17" s="56" customFormat="1">
      <c r="A96" s="964">
        <v>78</v>
      </c>
      <c r="B96" s="965"/>
      <c r="C96" s="885" t="s">
        <v>610</v>
      </c>
      <c r="D96" s="886" t="s">
        <v>1930</v>
      </c>
      <c r="E96" s="739" t="s">
        <v>111</v>
      </c>
      <c r="F96" s="739">
        <v>200</v>
      </c>
      <c r="G96" s="257">
        <v>0.08</v>
      </c>
      <c r="H96" s="586">
        <v>10</v>
      </c>
      <c r="I96" s="275">
        <f t="shared" si="48"/>
        <v>0.8</v>
      </c>
      <c r="J96" s="257">
        <v>5.64</v>
      </c>
      <c r="K96" s="389">
        <f t="shared" si="49"/>
        <v>8.0000000000000016E-2</v>
      </c>
      <c r="L96" s="102">
        <f t="shared" si="36"/>
        <v>6.52</v>
      </c>
      <c r="M96" s="50">
        <f t="shared" si="37"/>
        <v>16</v>
      </c>
      <c r="N96" s="102">
        <f t="shared" si="38"/>
        <v>160</v>
      </c>
      <c r="O96" s="102">
        <f t="shared" si="39"/>
        <v>1128</v>
      </c>
      <c r="P96" s="102">
        <f t="shared" si="40"/>
        <v>16</v>
      </c>
      <c r="Q96" s="103">
        <f t="shared" si="41"/>
        <v>1304</v>
      </c>
    </row>
    <row r="97" spans="1:17" s="56" customFormat="1">
      <c r="A97" s="964">
        <f t="shared" si="47"/>
        <v>79</v>
      </c>
      <c r="B97" s="965"/>
      <c r="C97" s="885" t="s">
        <v>611</v>
      </c>
      <c r="D97" s="886" t="s">
        <v>1930</v>
      </c>
      <c r="E97" s="739" t="s">
        <v>111</v>
      </c>
      <c r="F97" s="739">
        <v>200</v>
      </c>
      <c r="G97" s="257">
        <v>0.08</v>
      </c>
      <c r="H97" s="586">
        <v>10</v>
      </c>
      <c r="I97" s="275">
        <f t="shared" si="48"/>
        <v>0.8</v>
      </c>
      <c r="J97" s="257">
        <v>3.59</v>
      </c>
      <c r="K97" s="389">
        <f t="shared" si="49"/>
        <v>8.0000000000000016E-2</v>
      </c>
      <c r="L97" s="102">
        <f t="shared" si="36"/>
        <v>4.47</v>
      </c>
      <c r="M97" s="50">
        <f t="shared" si="37"/>
        <v>16</v>
      </c>
      <c r="N97" s="102">
        <f t="shared" si="38"/>
        <v>160</v>
      </c>
      <c r="O97" s="102">
        <f t="shared" si="39"/>
        <v>718</v>
      </c>
      <c r="P97" s="102">
        <f t="shared" si="40"/>
        <v>16</v>
      </c>
      <c r="Q97" s="103">
        <f t="shared" si="41"/>
        <v>894</v>
      </c>
    </row>
    <row r="98" spans="1:17" s="56" customFormat="1">
      <c r="A98" s="964">
        <f t="shared" si="47"/>
        <v>80</v>
      </c>
      <c r="B98" s="965"/>
      <c r="C98" s="885" t="s">
        <v>612</v>
      </c>
      <c r="D98" s="886" t="s">
        <v>1930</v>
      </c>
      <c r="E98" s="739" t="s">
        <v>111</v>
      </c>
      <c r="F98" s="739">
        <v>600</v>
      </c>
      <c r="G98" s="257">
        <v>0.08</v>
      </c>
      <c r="H98" s="586">
        <v>10</v>
      </c>
      <c r="I98" s="275">
        <f t="shared" si="48"/>
        <v>0.8</v>
      </c>
      <c r="J98" s="257">
        <v>2.5</v>
      </c>
      <c r="K98" s="389">
        <f t="shared" si="49"/>
        <v>8.0000000000000016E-2</v>
      </c>
      <c r="L98" s="102">
        <f t="shared" si="36"/>
        <v>3.38</v>
      </c>
      <c r="M98" s="50">
        <f t="shared" si="37"/>
        <v>48</v>
      </c>
      <c r="N98" s="102">
        <f t="shared" si="38"/>
        <v>480</v>
      </c>
      <c r="O98" s="102">
        <f t="shared" si="39"/>
        <v>1500</v>
      </c>
      <c r="P98" s="102">
        <f t="shared" si="40"/>
        <v>48</v>
      </c>
      <c r="Q98" s="103">
        <f t="shared" si="41"/>
        <v>2028</v>
      </c>
    </row>
    <row r="99" spans="1:17" s="56" customFormat="1">
      <c r="A99" s="964">
        <f t="shared" si="47"/>
        <v>81</v>
      </c>
      <c r="B99" s="965"/>
      <c r="C99" s="885" t="s">
        <v>613</v>
      </c>
      <c r="D99" s="886" t="s">
        <v>1930</v>
      </c>
      <c r="E99" s="739" t="s">
        <v>111</v>
      </c>
      <c r="F99" s="739">
        <v>100</v>
      </c>
      <c r="G99" s="257">
        <v>0.08</v>
      </c>
      <c r="H99" s="586">
        <v>10</v>
      </c>
      <c r="I99" s="275">
        <f t="shared" si="48"/>
        <v>0.8</v>
      </c>
      <c r="J99" s="257">
        <v>0.88</v>
      </c>
      <c r="K99" s="389">
        <f t="shared" si="49"/>
        <v>8.0000000000000016E-2</v>
      </c>
      <c r="L99" s="102">
        <f t="shared" si="36"/>
        <v>1.7600000000000002</v>
      </c>
      <c r="M99" s="50">
        <f t="shared" si="37"/>
        <v>8</v>
      </c>
      <c r="N99" s="102">
        <f t="shared" si="38"/>
        <v>80</v>
      </c>
      <c r="O99" s="102">
        <f t="shared" si="39"/>
        <v>88</v>
      </c>
      <c r="P99" s="102">
        <f t="shared" si="40"/>
        <v>8</v>
      </c>
      <c r="Q99" s="103">
        <f t="shared" si="41"/>
        <v>176</v>
      </c>
    </row>
    <row r="100" spans="1:17" s="56" customFormat="1">
      <c r="A100" s="964">
        <v>82</v>
      </c>
      <c r="B100" s="965"/>
      <c r="C100" s="885" t="s">
        <v>614</v>
      </c>
      <c r="D100" s="886" t="s">
        <v>1931</v>
      </c>
      <c r="E100" s="739" t="s">
        <v>111</v>
      </c>
      <c r="F100" s="739">
        <v>600</v>
      </c>
      <c r="G100" s="257">
        <v>0.08</v>
      </c>
      <c r="H100" s="586">
        <v>10</v>
      </c>
      <c r="I100" s="275">
        <f t="shared" si="48"/>
        <v>0.8</v>
      </c>
      <c r="J100" s="257">
        <v>2.5</v>
      </c>
      <c r="K100" s="389">
        <f t="shared" si="49"/>
        <v>8.0000000000000016E-2</v>
      </c>
      <c r="L100" s="102">
        <f t="shared" si="36"/>
        <v>3.38</v>
      </c>
      <c r="M100" s="50">
        <f t="shared" si="37"/>
        <v>48</v>
      </c>
      <c r="N100" s="102">
        <f t="shared" si="38"/>
        <v>480</v>
      </c>
      <c r="O100" s="102">
        <f t="shared" si="39"/>
        <v>1500</v>
      </c>
      <c r="P100" s="102">
        <f t="shared" si="40"/>
        <v>48</v>
      </c>
      <c r="Q100" s="103">
        <f t="shared" si="41"/>
        <v>2028</v>
      </c>
    </row>
    <row r="101" spans="1:17" s="56" customFormat="1">
      <c r="A101" s="964">
        <f t="shared" si="47"/>
        <v>83</v>
      </c>
      <c r="B101" s="965"/>
      <c r="C101" s="885" t="s">
        <v>615</v>
      </c>
      <c r="D101" s="886" t="s">
        <v>1931</v>
      </c>
      <c r="E101" s="739" t="s">
        <v>111</v>
      </c>
      <c r="F101" s="739">
        <v>1000</v>
      </c>
      <c r="G101" s="256">
        <v>0.08</v>
      </c>
      <c r="H101" s="586">
        <v>10</v>
      </c>
      <c r="I101" s="267">
        <f t="shared" si="48"/>
        <v>0.8</v>
      </c>
      <c r="J101" s="257">
        <v>1.6</v>
      </c>
      <c r="K101" s="389">
        <f t="shared" si="49"/>
        <v>8.0000000000000016E-2</v>
      </c>
      <c r="L101" s="102">
        <f t="shared" si="36"/>
        <v>2.4800000000000004</v>
      </c>
      <c r="M101" s="50">
        <f t="shared" si="37"/>
        <v>80</v>
      </c>
      <c r="N101" s="102">
        <f t="shared" si="38"/>
        <v>800</v>
      </c>
      <c r="O101" s="102">
        <f t="shared" si="39"/>
        <v>1600</v>
      </c>
      <c r="P101" s="102">
        <f t="shared" si="40"/>
        <v>80</v>
      </c>
      <c r="Q101" s="103">
        <f t="shared" si="41"/>
        <v>2480</v>
      </c>
    </row>
    <row r="102" spans="1:17" s="56" customFormat="1">
      <c r="A102" s="964">
        <f t="shared" si="47"/>
        <v>84</v>
      </c>
      <c r="B102" s="965"/>
      <c r="C102" s="885" t="s">
        <v>616</v>
      </c>
      <c r="D102" s="886" t="s">
        <v>1931</v>
      </c>
      <c r="E102" s="739" t="s">
        <v>111</v>
      </c>
      <c r="F102" s="739">
        <v>800</v>
      </c>
      <c r="G102" s="256">
        <v>0.08</v>
      </c>
      <c r="H102" s="586">
        <v>10</v>
      </c>
      <c r="I102" s="267">
        <f t="shared" si="48"/>
        <v>0.8</v>
      </c>
      <c r="J102" s="257">
        <v>0.8</v>
      </c>
      <c r="K102" s="389">
        <f t="shared" si="49"/>
        <v>8.0000000000000016E-2</v>
      </c>
      <c r="L102" s="102">
        <f t="shared" si="36"/>
        <v>1.6800000000000002</v>
      </c>
      <c r="M102" s="50">
        <f t="shared" si="37"/>
        <v>64</v>
      </c>
      <c r="N102" s="102">
        <f t="shared" si="38"/>
        <v>640</v>
      </c>
      <c r="O102" s="102">
        <f t="shared" si="39"/>
        <v>640</v>
      </c>
      <c r="P102" s="102">
        <f t="shared" si="40"/>
        <v>64</v>
      </c>
      <c r="Q102" s="103">
        <f t="shared" si="41"/>
        <v>1344</v>
      </c>
    </row>
    <row r="103" spans="1:17" s="56" customFormat="1">
      <c r="A103" s="964">
        <f t="shared" si="47"/>
        <v>85</v>
      </c>
      <c r="B103" s="965"/>
      <c r="C103" s="885" t="s">
        <v>617</v>
      </c>
      <c r="D103" s="886" t="s">
        <v>1931</v>
      </c>
      <c r="E103" s="739" t="s">
        <v>111</v>
      </c>
      <c r="F103" s="739">
        <v>4500</v>
      </c>
      <c r="G103" s="256">
        <v>0.05</v>
      </c>
      <c r="H103" s="586">
        <v>10</v>
      </c>
      <c r="I103" s="267">
        <f t="shared" si="48"/>
        <v>0.5</v>
      </c>
      <c r="J103" s="257">
        <v>0.57999999999999996</v>
      </c>
      <c r="K103" s="389">
        <f t="shared" si="49"/>
        <v>0.05</v>
      </c>
      <c r="L103" s="102">
        <f t="shared" si="36"/>
        <v>1.1300000000000001</v>
      </c>
      <c r="M103" s="50">
        <f t="shared" si="37"/>
        <v>225</v>
      </c>
      <c r="N103" s="102">
        <f t="shared" si="38"/>
        <v>2250</v>
      </c>
      <c r="O103" s="102">
        <f t="shared" si="39"/>
        <v>2610</v>
      </c>
      <c r="P103" s="102">
        <f t="shared" si="40"/>
        <v>225</v>
      </c>
      <c r="Q103" s="103">
        <f t="shared" si="41"/>
        <v>5085</v>
      </c>
    </row>
    <row r="104" spans="1:17" s="56" customFormat="1">
      <c r="A104" s="964">
        <f t="shared" si="47"/>
        <v>86</v>
      </c>
      <c r="B104" s="965"/>
      <c r="C104" s="885" t="s">
        <v>618</v>
      </c>
      <c r="D104" s="886" t="s">
        <v>1931</v>
      </c>
      <c r="E104" s="739" t="s">
        <v>111</v>
      </c>
      <c r="F104" s="739">
        <v>1800</v>
      </c>
      <c r="G104" s="256">
        <v>0.05</v>
      </c>
      <c r="H104" s="586">
        <v>10</v>
      </c>
      <c r="I104" s="267">
        <f t="shared" si="48"/>
        <v>0.5</v>
      </c>
      <c r="J104" s="257">
        <v>0.82</v>
      </c>
      <c r="K104" s="389">
        <f t="shared" si="49"/>
        <v>0.05</v>
      </c>
      <c r="L104" s="102">
        <f t="shared" si="36"/>
        <v>1.3699999999999999</v>
      </c>
      <c r="M104" s="50">
        <f t="shared" si="37"/>
        <v>90</v>
      </c>
      <c r="N104" s="102">
        <f t="shared" si="38"/>
        <v>900</v>
      </c>
      <c r="O104" s="102">
        <f t="shared" si="39"/>
        <v>1476</v>
      </c>
      <c r="P104" s="102">
        <f t="shared" si="40"/>
        <v>90</v>
      </c>
      <c r="Q104" s="103">
        <f t="shared" si="41"/>
        <v>2466</v>
      </c>
    </row>
    <row r="105" spans="1:17" s="56" customFormat="1">
      <c r="A105" s="964">
        <f t="shared" si="47"/>
        <v>87</v>
      </c>
      <c r="B105" s="965"/>
      <c r="C105" s="885" t="s">
        <v>619</v>
      </c>
      <c r="D105" s="886" t="s">
        <v>1931</v>
      </c>
      <c r="E105" s="739" t="s">
        <v>111</v>
      </c>
      <c r="F105" s="739">
        <v>1800</v>
      </c>
      <c r="G105" s="257">
        <v>0.05</v>
      </c>
      <c r="H105" s="586">
        <v>10</v>
      </c>
      <c r="I105" s="267">
        <f t="shared" si="48"/>
        <v>0.5</v>
      </c>
      <c r="J105" s="257">
        <v>0.48</v>
      </c>
      <c r="K105" s="389">
        <f t="shared" si="49"/>
        <v>0.05</v>
      </c>
      <c r="L105" s="102">
        <f t="shared" si="36"/>
        <v>1.03</v>
      </c>
      <c r="M105" s="50">
        <f t="shared" si="37"/>
        <v>90</v>
      </c>
      <c r="N105" s="102">
        <f t="shared" si="38"/>
        <v>900</v>
      </c>
      <c r="O105" s="102">
        <f t="shared" si="39"/>
        <v>864</v>
      </c>
      <c r="P105" s="102">
        <f t="shared" si="40"/>
        <v>90</v>
      </c>
      <c r="Q105" s="103">
        <f t="shared" si="41"/>
        <v>1854</v>
      </c>
    </row>
    <row r="106" spans="1:17" s="56" customFormat="1">
      <c r="A106" s="964">
        <f t="shared" si="47"/>
        <v>88</v>
      </c>
      <c r="B106" s="965"/>
      <c r="C106" s="885" t="s">
        <v>620</v>
      </c>
      <c r="D106" s="886" t="s">
        <v>1931</v>
      </c>
      <c r="E106" s="739" t="s">
        <v>111</v>
      </c>
      <c r="F106" s="739">
        <v>6500</v>
      </c>
      <c r="G106" s="257">
        <v>0.05</v>
      </c>
      <c r="H106" s="586">
        <v>10</v>
      </c>
      <c r="I106" s="267">
        <f t="shared" si="48"/>
        <v>0.5</v>
      </c>
      <c r="J106" s="257">
        <v>0.38</v>
      </c>
      <c r="K106" s="389">
        <f t="shared" si="49"/>
        <v>0.05</v>
      </c>
      <c r="L106" s="102">
        <f t="shared" si="36"/>
        <v>0.93</v>
      </c>
      <c r="M106" s="50">
        <f t="shared" si="37"/>
        <v>325</v>
      </c>
      <c r="N106" s="102">
        <f t="shared" si="38"/>
        <v>3250</v>
      </c>
      <c r="O106" s="102">
        <f t="shared" si="39"/>
        <v>2470</v>
      </c>
      <c r="P106" s="102">
        <f t="shared" si="40"/>
        <v>325</v>
      </c>
      <c r="Q106" s="103">
        <f t="shared" si="41"/>
        <v>6045</v>
      </c>
    </row>
    <row r="107" spans="1:17" s="56" customFormat="1">
      <c r="A107" s="964">
        <f t="shared" si="47"/>
        <v>89</v>
      </c>
      <c r="B107" s="965"/>
      <c r="C107" s="885" t="s">
        <v>621</v>
      </c>
      <c r="D107" s="886" t="s">
        <v>1930</v>
      </c>
      <c r="E107" s="739" t="s">
        <v>111</v>
      </c>
      <c r="F107" s="739">
        <v>15</v>
      </c>
      <c r="G107" s="257">
        <v>0.08</v>
      </c>
      <c r="H107" s="586">
        <v>10</v>
      </c>
      <c r="I107" s="267">
        <f t="shared" si="48"/>
        <v>0.8</v>
      </c>
      <c r="J107" s="257">
        <v>9.8000000000000007</v>
      </c>
      <c r="K107" s="389">
        <f t="shared" si="49"/>
        <v>8.0000000000000016E-2</v>
      </c>
      <c r="L107" s="102">
        <f t="shared" si="36"/>
        <v>10.680000000000001</v>
      </c>
      <c r="M107" s="50">
        <f t="shared" si="37"/>
        <v>1.2</v>
      </c>
      <c r="N107" s="102">
        <f t="shared" si="38"/>
        <v>12</v>
      </c>
      <c r="O107" s="102">
        <f t="shared" si="39"/>
        <v>147</v>
      </c>
      <c r="P107" s="102">
        <f t="shared" si="40"/>
        <v>1.2</v>
      </c>
      <c r="Q107" s="103">
        <f t="shared" si="41"/>
        <v>160.19999999999999</v>
      </c>
    </row>
    <row r="108" spans="1:17" s="56" customFormat="1">
      <c r="A108" s="964">
        <v>90</v>
      </c>
      <c r="B108" s="965"/>
      <c r="C108" s="885" t="s">
        <v>622</v>
      </c>
      <c r="D108" s="886" t="s">
        <v>1930</v>
      </c>
      <c r="E108" s="739" t="s">
        <v>111</v>
      </c>
      <c r="F108" s="739">
        <v>100</v>
      </c>
      <c r="G108" s="257">
        <v>0.08</v>
      </c>
      <c r="H108" s="586">
        <v>10</v>
      </c>
      <c r="I108" s="267">
        <f t="shared" si="48"/>
        <v>0.8</v>
      </c>
      <c r="J108" s="257">
        <v>1.33</v>
      </c>
      <c r="K108" s="389">
        <f t="shared" si="49"/>
        <v>8.0000000000000016E-2</v>
      </c>
      <c r="L108" s="102">
        <f t="shared" si="36"/>
        <v>2.21</v>
      </c>
      <c r="M108" s="50">
        <f t="shared" si="37"/>
        <v>8</v>
      </c>
      <c r="N108" s="102">
        <f t="shared" si="38"/>
        <v>80</v>
      </c>
      <c r="O108" s="102">
        <f t="shared" si="39"/>
        <v>133</v>
      </c>
      <c r="P108" s="102">
        <f t="shared" si="40"/>
        <v>8</v>
      </c>
      <c r="Q108" s="103">
        <f t="shared" si="41"/>
        <v>221</v>
      </c>
    </row>
    <row r="109" spans="1:17" s="56" customFormat="1">
      <c r="A109" s="964">
        <f t="shared" si="47"/>
        <v>91</v>
      </c>
      <c r="B109" s="965"/>
      <c r="C109" s="885" t="s">
        <v>623</v>
      </c>
      <c r="D109" s="886" t="s">
        <v>1930</v>
      </c>
      <c r="E109" s="739" t="s">
        <v>111</v>
      </c>
      <c r="F109" s="739">
        <v>200</v>
      </c>
      <c r="G109" s="257">
        <v>0.08</v>
      </c>
      <c r="H109" s="586">
        <v>10</v>
      </c>
      <c r="I109" s="267">
        <f t="shared" si="48"/>
        <v>0.8</v>
      </c>
      <c r="J109" s="257">
        <v>0.6</v>
      </c>
      <c r="K109" s="389">
        <f t="shared" si="49"/>
        <v>8.0000000000000016E-2</v>
      </c>
      <c r="L109" s="102">
        <f t="shared" si="36"/>
        <v>1.48</v>
      </c>
      <c r="M109" s="50">
        <f t="shared" si="37"/>
        <v>16</v>
      </c>
      <c r="N109" s="102">
        <f t="shared" si="38"/>
        <v>160</v>
      </c>
      <c r="O109" s="102">
        <f t="shared" si="39"/>
        <v>120</v>
      </c>
      <c r="P109" s="102">
        <f t="shared" si="40"/>
        <v>16</v>
      </c>
      <c r="Q109" s="103">
        <f t="shared" si="41"/>
        <v>296</v>
      </c>
    </row>
    <row r="110" spans="1:17" s="56" customFormat="1">
      <c r="A110" s="964">
        <v>92</v>
      </c>
      <c r="B110" s="965"/>
      <c r="C110" s="885" t="s">
        <v>1680</v>
      </c>
      <c r="D110" s="886" t="s">
        <v>1930</v>
      </c>
      <c r="E110" s="739" t="s">
        <v>111</v>
      </c>
      <c r="F110" s="739">
        <v>1600</v>
      </c>
      <c r="G110" s="257">
        <v>0.08</v>
      </c>
      <c r="H110" s="586">
        <v>10</v>
      </c>
      <c r="I110" s="267">
        <f t="shared" si="48"/>
        <v>0.8</v>
      </c>
      <c r="J110" s="257">
        <v>0.53</v>
      </c>
      <c r="K110" s="389">
        <f t="shared" si="49"/>
        <v>8.0000000000000016E-2</v>
      </c>
      <c r="L110" s="102">
        <f t="shared" si="36"/>
        <v>1.4100000000000001</v>
      </c>
      <c r="M110" s="50">
        <f t="shared" si="37"/>
        <v>128</v>
      </c>
      <c r="N110" s="102">
        <f t="shared" si="38"/>
        <v>1280</v>
      </c>
      <c r="O110" s="102">
        <f t="shared" si="39"/>
        <v>848</v>
      </c>
      <c r="P110" s="102">
        <f t="shared" si="40"/>
        <v>128</v>
      </c>
      <c r="Q110" s="103">
        <f t="shared" si="41"/>
        <v>2256</v>
      </c>
    </row>
    <row r="111" spans="1:17" s="56" customFormat="1">
      <c r="A111" s="964">
        <v>93</v>
      </c>
      <c r="B111" s="965"/>
      <c r="C111" s="885" t="s">
        <v>624</v>
      </c>
      <c r="D111" s="886" t="s">
        <v>1932</v>
      </c>
      <c r="E111" s="887" t="s">
        <v>111</v>
      </c>
      <c r="F111" s="739">
        <v>60</v>
      </c>
      <c r="G111" s="257">
        <v>0.08</v>
      </c>
      <c r="H111" s="586">
        <v>10</v>
      </c>
      <c r="I111" s="267">
        <f t="shared" si="48"/>
        <v>0.8</v>
      </c>
      <c r="J111" s="257">
        <v>0.42</v>
      </c>
      <c r="K111" s="389">
        <f t="shared" si="49"/>
        <v>8.0000000000000016E-2</v>
      </c>
      <c r="L111" s="102">
        <f t="shared" si="36"/>
        <v>1.3</v>
      </c>
      <c r="M111" s="50">
        <f t="shared" si="37"/>
        <v>4.8</v>
      </c>
      <c r="N111" s="102">
        <f t="shared" si="38"/>
        <v>48</v>
      </c>
      <c r="O111" s="102">
        <f t="shared" si="39"/>
        <v>25.2</v>
      </c>
      <c r="P111" s="102">
        <f t="shared" si="40"/>
        <v>4.8</v>
      </c>
      <c r="Q111" s="103">
        <f t="shared" si="41"/>
        <v>78</v>
      </c>
    </row>
    <row r="112" spans="1:17" s="56" customFormat="1">
      <c r="A112" s="964">
        <v>94</v>
      </c>
      <c r="B112" s="965"/>
      <c r="C112" s="885" t="s">
        <v>625</v>
      </c>
      <c r="D112" s="886" t="s">
        <v>1932</v>
      </c>
      <c r="E112" s="739" t="s">
        <v>111</v>
      </c>
      <c r="F112" s="739">
        <v>60</v>
      </c>
      <c r="G112" s="257">
        <v>0.08</v>
      </c>
      <c r="H112" s="586">
        <v>10</v>
      </c>
      <c r="I112" s="267">
        <f t="shared" si="48"/>
        <v>0.8</v>
      </c>
      <c r="J112" s="257">
        <v>0.52</v>
      </c>
      <c r="K112" s="389">
        <f t="shared" si="49"/>
        <v>8.0000000000000016E-2</v>
      </c>
      <c r="L112" s="102">
        <f t="shared" si="36"/>
        <v>1.4000000000000001</v>
      </c>
      <c r="M112" s="50">
        <f t="shared" si="37"/>
        <v>4.8</v>
      </c>
      <c r="N112" s="102">
        <f t="shared" si="38"/>
        <v>48</v>
      </c>
      <c r="O112" s="102">
        <f t="shared" si="39"/>
        <v>31.2</v>
      </c>
      <c r="P112" s="102">
        <f t="shared" si="40"/>
        <v>4.8</v>
      </c>
      <c r="Q112" s="103">
        <f t="shared" si="41"/>
        <v>84</v>
      </c>
    </row>
    <row r="113" spans="1:17" s="56" customFormat="1">
      <c r="A113" s="964">
        <v>95</v>
      </c>
      <c r="B113" s="965"/>
      <c r="C113" s="885" t="s">
        <v>626</v>
      </c>
      <c r="D113" s="886" t="s">
        <v>1932</v>
      </c>
      <c r="E113" s="887" t="s">
        <v>111</v>
      </c>
      <c r="F113" s="739">
        <v>400</v>
      </c>
      <c r="G113" s="257">
        <v>0.08</v>
      </c>
      <c r="H113" s="586">
        <v>10</v>
      </c>
      <c r="I113" s="267">
        <f t="shared" si="48"/>
        <v>0.8</v>
      </c>
      <c r="J113" s="257">
        <v>0.13</v>
      </c>
      <c r="K113" s="389">
        <f t="shared" si="49"/>
        <v>8.0000000000000016E-2</v>
      </c>
      <c r="L113" s="102">
        <f t="shared" si="36"/>
        <v>1.01</v>
      </c>
      <c r="M113" s="50">
        <f t="shared" si="37"/>
        <v>32</v>
      </c>
      <c r="N113" s="102">
        <f t="shared" si="38"/>
        <v>320</v>
      </c>
      <c r="O113" s="102">
        <f t="shared" si="39"/>
        <v>52</v>
      </c>
      <c r="P113" s="102">
        <f t="shared" si="40"/>
        <v>32</v>
      </c>
      <c r="Q113" s="103">
        <f t="shared" si="41"/>
        <v>404</v>
      </c>
    </row>
    <row r="114" spans="1:17" s="56" customFormat="1">
      <c r="A114" s="964">
        <f>A113+1</f>
        <v>96</v>
      </c>
      <c r="B114" s="965"/>
      <c r="C114" s="885" t="s">
        <v>627</v>
      </c>
      <c r="D114" s="886" t="s">
        <v>1932</v>
      </c>
      <c r="E114" s="887" t="s">
        <v>111</v>
      </c>
      <c r="F114" s="739">
        <v>500</v>
      </c>
      <c r="G114" s="257">
        <v>0.08</v>
      </c>
      <c r="H114" s="586">
        <v>10</v>
      </c>
      <c r="I114" s="267">
        <f t="shared" si="48"/>
        <v>0.8</v>
      </c>
      <c r="J114" s="257">
        <v>0.1</v>
      </c>
      <c r="K114" s="389">
        <f t="shared" si="49"/>
        <v>8.0000000000000016E-2</v>
      </c>
      <c r="L114" s="102">
        <f t="shared" si="36"/>
        <v>0.98</v>
      </c>
      <c r="M114" s="50">
        <f t="shared" si="37"/>
        <v>40</v>
      </c>
      <c r="N114" s="102">
        <f t="shared" si="38"/>
        <v>400</v>
      </c>
      <c r="O114" s="102">
        <f t="shared" si="39"/>
        <v>50</v>
      </c>
      <c r="P114" s="102">
        <f t="shared" si="40"/>
        <v>40</v>
      </c>
      <c r="Q114" s="103">
        <f t="shared" si="41"/>
        <v>490</v>
      </c>
    </row>
    <row r="115" spans="1:17" s="56" customFormat="1">
      <c r="A115" s="964">
        <f t="shared" ref="A115:A130" si="50">A114+1</f>
        <v>97</v>
      </c>
      <c r="B115" s="965"/>
      <c r="C115" s="885" t="s">
        <v>628</v>
      </c>
      <c r="D115" s="886" t="s">
        <v>1932</v>
      </c>
      <c r="E115" s="887" t="s">
        <v>111</v>
      </c>
      <c r="F115" s="739">
        <v>200</v>
      </c>
      <c r="G115" s="257">
        <v>0.08</v>
      </c>
      <c r="H115" s="586">
        <v>10</v>
      </c>
      <c r="I115" s="267">
        <f t="shared" si="48"/>
        <v>0.8</v>
      </c>
      <c r="J115" s="257">
        <v>0.4</v>
      </c>
      <c r="K115" s="389">
        <f t="shared" si="49"/>
        <v>8.0000000000000016E-2</v>
      </c>
      <c r="L115" s="102">
        <f t="shared" si="36"/>
        <v>1.2800000000000002</v>
      </c>
      <c r="M115" s="50">
        <f t="shared" si="37"/>
        <v>16</v>
      </c>
      <c r="N115" s="102">
        <f t="shared" si="38"/>
        <v>160</v>
      </c>
      <c r="O115" s="102">
        <f t="shared" si="39"/>
        <v>80</v>
      </c>
      <c r="P115" s="102">
        <f t="shared" si="40"/>
        <v>16</v>
      </c>
      <c r="Q115" s="103">
        <f t="shared" si="41"/>
        <v>256</v>
      </c>
    </row>
    <row r="116" spans="1:17" s="56" customFormat="1">
      <c r="A116" s="964">
        <f t="shared" si="50"/>
        <v>98</v>
      </c>
      <c r="B116" s="965"/>
      <c r="C116" s="885" t="s">
        <v>629</v>
      </c>
      <c r="D116" s="886" t="s">
        <v>1933</v>
      </c>
      <c r="E116" s="887" t="s">
        <v>136</v>
      </c>
      <c r="F116" s="739">
        <v>1</v>
      </c>
      <c r="G116" s="257"/>
      <c r="H116" s="582"/>
      <c r="I116" s="267"/>
      <c r="J116" s="257">
        <v>7740</v>
      </c>
      <c r="K116" s="389">
        <f t="shared" si="49"/>
        <v>0</v>
      </c>
      <c r="L116" s="102">
        <f t="shared" si="36"/>
        <v>7740</v>
      </c>
      <c r="M116" s="50">
        <f t="shared" si="37"/>
        <v>0</v>
      </c>
      <c r="N116" s="102">
        <f t="shared" si="38"/>
        <v>0</v>
      </c>
      <c r="O116" s="102">
        <f t="shared" si="39"/>
        <v>7740</v>
      </c>
      <c r="P116" s="102">
        <f t="shared" si="40"/>
        <v>0</v>
      </c>
      <c r="Q116" s="103">
        <f t="shared" si="41"/>
        <v>7740</v>
      </c>
    </row>
    <row r="117" spans="1:17" s="56" customFormat="1">
      <c r="A117" s="964"/>
      <c r="B117" s="965"/>
      <c r="C117" s="962" t="s">
        <v>630</v>
      </c>
      <c r="D117" s="886" t="s">
        <v>1884</v>
      </c>
      <c r="E117" s="887"/>
      <c r="F117" s="739"/>
      <c r="G117" s="957"/>
      <c r="H117" s="958"/>
      <c r="I117" s="959"/>
      <c r="J117" s="957"/>
      <c r="K117" s="960"/>
      <c r="L117" s="102">
        <f t="shared" si="36"/>
        <v>0</v>
      </c>
      <c r="M117" s="50">
        <f t="shared" si="37"/>
        <v>0</v>
      </c>
      <c r="N117" s="102">
        <f t="shared" si="38"/>
        <v>0</v>
      </c>
      <c r="O117" s="102">
        <f t="shared" si="39"/>
        <v>0</v>
      </c>
      <c r="P117" s="102">
        <f t="shared" si="40"/>
        <v>0</v>
      </c>
      <c r="Q117" s="103">
        <f t="shared" si="41"/>
        <v>0</v>
      </c>
    </row>
    <row r="118" spans="1:17" s="56" customFormat="1" ht="24.9">
      <c r="A118" s="964">
        <v>99</v>
      </c>
      <c r="B118" s="965"/>
      <c r="C118" s="885" t="s">
        <v>631</v>
      </c>
      <c r="D118" s="886" t="s">
        <v>1934</v>
      </c>
      <c r="E118" s="887" t="s">
        <v>136</v>
      </c>
      <c r="F118" s="739">
        <v>30</v>
      </c>
      <c r="G118" s="257">
        <v>1.2</v>
      </c>
      <c r="H118" s="582">
        <v>10</v>
      </c>
      <c r="I118" s="267">
        <f t="shared" ref="I118:I137" si="51">ROUND(G118*H118,2)</f>
        <v>12</v>
      </c>
      <c r="J118" s="257">
        <v>6.5</v>
      </c>
      <c r="K118" s="389">
        <f t="shared" ref="K118:K137" si="52">I118*0.1</f>
        <v>1.2000000000000002</v>
      </c>
      <c r="L118" s="102">
        <f t="shared" si="36"/>
        <v>19.7</v>
      </c>
      <c r="M118" s="50">
        <f t="shared" si="37"/>
        <v>36</v>
      </c>
      <c r="N118" s="102">
        <f t="shared" si="38"/>
        <v>360</v>
      </c>
      <c r="O118" s="102">
        <f t="shared" si="39"/>
        <v>195</v>
      </c>
      <c r="P118" s="102">
        <f t="shared" si="40"/>
        <v>36</v>
      </c>
      <c r="Q118" s="103">
        <f t="shared" si="41"/>
        <v>591</v>
      </c>
    </row>
    <row r="119" spans="1:17" s="56" customFormat="1" ht="24.9">
      <c r="A119" s="964">
        <f t="shared" si="50"/>
        <v>100</v>
      </c>
      <c r="B119" s="965"/>
      <c r="C119" s="885" t="s">
        <v>632</v>
      </c>
      <c r="D119" s="886" t="s">
        <v>1935</v>
      </c>
      <c r="E119" s="887" t="s">
        <v>136</v>
      </c>
      <c r="F119" s="739">
        <v>9</v>
      </c>
      <c r="G119" s="257">
        <v>1.2</v>
      </c>
      <c r="H119" s="582">
        <v>10</v>
      </c>
      <c r="I119" s="267">
        <f t="shared" si="51"/>
        <v>12</v>
      </c>
      <c r="J119" s="257">
        <v>12</v>
      </c>
      <c r="K119" s="389">
        <f t="shared" si="52"/>
        <v>1.2000000000000002</v>
      </c>
      <c r="L119" s="102">
        <f t="shared" si="36"/>
        <v>25.2</v>
      </c>
      <c r="M119" s="50">
        <f t="shared" si="37"/>
        <v>10.8</v>
      </c>
      <c r="N119" s="102">
        <f t="shared" si="38"/>
        <v>108</v>
      </c>
      <c r="O119" s="102">
        <f t="shared" si="39"/>
        <v>108</v>
      </c>
      <c r="P119" s="102">
        <f t="shared" si="40"/>
        <v>10.8</v>
      </c>
      <c r="Q119" s="103">
        <f t="shared" si="41"/>
        <v>226.8</v>
      </c>
    </row>
    <row r="120" spans="1:17" s="56" customFormat="1" ht="24.9">
      <c r="A120" s="964">
        <f t="shared" si="50"/>
        <v>101</v>
      </c>
      <c r="B120" s="965"/>
      <c r="C120" s="885" t="s">
        <v>633</v>
      </c>
      <c r="D120" s="886" t="s">
        <v>1936</v>
      </c>
      <c r="E120" s="887" t="s">
        <v>136</v>
      </c>
      <c r="F120" s="739">
        <v>11</v>
      </c>
      <c r="G120" s="257">
        <v>1.2</v>
      </c>
      <c r="H120" s="582">
        <v>10</v>
      </c>
      <c r="I120" s="267">
        <f t="shared" si="51"/>
        <v>12</v>
      </c>
      <c r="J120" s="257">
        <v>16</v>
      </c>
      <c r="K120" s="389">
        <f t="shared" si="52"/>
        <v>1.2000000000000002</v>
      </c>
      <c r="L120" s="102">
        <f t="shared" si="36"/>
        <v>29.2</v>
      </c>
      <c r="M120" s="50">
        <f t="shared" si="37"/>
        <v>13.2</v>
      </c>
      <c r="N120" s="102">
        <f t="shared" si="38"/>
        <v>132</v>
      </c>
      <c r="O120" s="102">
        <f t="shared" si="39"/>
        <v>176</v>
      </c>
      <c r="P120" s="102">
        <f t="shared" si="40"/>
        <v>13.2</v>
      </c>
      <c r="Q120" s="103">
        <f t="shared" si="41"/>
        <v>321.2</v>
      </c>
    </row>
    <row r="121" spans="1:17" s="56" customFormat="1" ht="24.9">
      <c r="A121" s="964">
        <f t="shared" si="50"/>
        <v>102</v>
      </c>
      <c r="B121" s="965"/>
      <c r="C121" s="885" t="s">
        <v>634</v>
      </c>
      <c r="D121" s="886" t="s">
        <v>1937</v>
      </c>
      <c r="E121" s="887" t="s">
        <v>136</v>
      </c>
      <c r="F121" s="739">
        <v>31</v>
      </c>
      <c r="G121" s="257">
        <v>1.2</v>
      </c>
      <c r="H121" s="582">
        <v>10</v>
      </c>
      <c r="I121" s="267">
        <f t="shared" si="51"/>
        <v>12</v>
      </c>
      <c r="J121" s="257">
        <v>5.8</v>
      </c>
      <c r="K121" s="389">
        <f t="shared" si="52"/>
        <v>1.2000000000000002</v>
      </c>
      <c r="L121" s="102">
        <f t="shared" si="36"/>
        <v>19</v>
      </c>
      <c r="M121" s="50">
        <f t="shared" si="37"/>
        <v>37.200000000000003</v>
      </c>
      <c r="N121" s="102">
        <f t="shared" si="38"/>
        <v>372</v>
      </c>
      <c r="O121" s="102">
        <f t="shared" si="39"/>
        <v>179.8</v>
      </c>
      <c r="P121" s="102">
        <f t="shared" si="40"/>
        <v>37.200000000000003</v>
      </c>
      <c r="Q121" s="103">
        <f t="shared" si="41"/>
        <v>589</v>
      </c>
    </row>
    <row r="122" spans="1:17" s="56" customFormat="1" ht="24.9">
      <c r="A122" s="964">
        <f t="shared" si="50"/>
        <v>103</v>
      </c>
      <c r="B122" s="965"/>
      <c r="C122" s="885" t="s">
        <v>635</v>
      </c>
      <c r="D122" s="886" t="s">
        <v>1938</v>
      </c>
      <c r="E122" s="887" t="s">
        <v>136</v>
      </c>
      <c r="F122" s="739">
        <v>3</v>
      </c>
      <c r="G122" s="256">
        <v>1.2</v>
      </c>
      <c r="H122" s="582">
        <v>10</v>
      </c>
      <c r="I122" s="267">
        <f t="shared" si="51"/>
        <v>12</v>
      </c>
      <c r="J122" s="257">
        <v>14</v>
      </c>
      <c r="K122" s="389">
        <f t="shared" si="52"/>
        <v>1.2000000000000002</v>
      </c>
      <c r="L122" s="102">
        <f t="shared" si="36"/>
        <v>27.2</v>
      </c>
      <c r="M122" s="50">
        <f t="shared" si="37"/>
        <v>3.6</v>
      </c>
      <c r="N122" s="102">
        <f t="shared" si="38"/>
        <v>36</v>
      </c>
      <c r="O122" s="102">
        <f t="shared" si="39"/>
        <v>42</v>
      </c>
      <c r="P122" s="102">
        <f t="shared" si="40"/>
        <v>3.6</v>
      </c>
      <c r="Q122" s="103">
        <f t="shared" si="41"/>
        <v>81.599999999999994</v>
      </c>
    </row>
    <row r="123" spans="1:17" s="56" customFormat="1" ht="24.9">
      <c r="A123" s="964">
        <f t="shared" si="50"/>
        <v>104</v>
      </c>
      <c r="B123" s="965"/>
      <c r="C123" s="885" t="s">
        <v>636</v>
      </c>
      <c r="D123" s="886" t="s">
        <v>1939</v>
      </c>
      <c r="E123" s="887" t="s">
        <v>136</v>
      </c>
      <c r="F123" s="739">
        <v>2</v>
      </c>
      <c r="G123" s="256">
        <v>1.2</v>
      </c>
      <c r="H123" s="582">
        <v>10</v>
      </c>
      <c r="I123" s="267">
        <f t="shared" si="51"/>
        <v>12</v>
      </c>
      <c r="J123" s="257">
        <v>24</v>
      </c>
      <c r="K123" s="389">
        <f t="shared" si="52"/>
        <v>1.2000000000000002</v>
      </c>
      <c r="L123" s="102">
        <f t="shared" si="36"/>
        <v>37.200000000000003</v>
      </c>
      <c r="M123" s="50">
        <f t="shared" si="37"/>
        <v>2.4</v>
      </c>
      <c r="N123" s="102">
        <f t="shared" si="38"/>
        <v>24</v>
      </c>
      <c r="O123" s="102">
        <f t="shared" si="39"/>
        <v>48</v>
      </c>
      <c r="P123" s="102">
        <f t="shared" si="40"/>
        <v>2.4</v>
      </c>
      <c r="Q123" s="103">
        <f t="shared" si="41"/>
        <v>74.400000000000006</v>
      </c>
    </row>
    <row r="124" spans="1:17" s="56" customFormat="1" ht="24.9">
      <c r="A124" s="964">
        <v>105</v>
      </c>
      <c r="B124" s="965"/>
      <c r="C124" s="885" t="s">
        <v>1681</v>
      </c>
      <c r="D124" s="886" t="s">
        <v>1940</v>
      </c>
      <c r="E124" s="887" t="s">
        <v>136</v>
      </c>
      <c r="F124" s="739">
        <v>2</v>
      </c>
      <c r="G124" s="736">
        <v>1.2</v>
      </c>
      <c r="H124" s="715">
        <v>10</v>
      </c>
      <c r="I124" s="709">
        <f t="shared" si="51"/>
        <v>12</v>
      </c>
      <c r="J124" s="736">
        <v>5.8</v>
      </c>
      <c r="K124" s="255">
        <f t="shared" si="52"/>
        <v>1.2000000000000002</v>
      </c>
      <c r="L124" s="102">
        <f t="shared" si="36"/>
        <v>19</v>
      </c>
      <c r="M124" s="50">
        <f t="shared" si="37"/>
        <v>2.4</v>
      </c>
      <c r="N124" s="102">
        <f t="shared" si="38"/>
        <v>24</v>
      </c>
      <c r="O124" s="102">
        <f t="shared" si="39"/>
        <v>11.6</v>
      </c>
      <c r="P124" s="102">
        <f t="shared" si="40"/>
        <v>2.4</v>
      </c>
      <c r="Q124" s="103">
        <f t="shared" si="41"/>
        <v>38</v>
      </c>
    </row>
    <row r="125" spans="1:17" s="56" customFormat="1" ht="24.9">
      <c r="A125" s="964">
        <v>106</v>
      </c>
      <c r="B125" s="965"/>
      <c r="C125" s="885" t="s">
        <v>637</v>
      </c>
      <c r="D125" s="886" t="s">
        <v>1941</v>
      </c>
      <c r="E125" s="887" t="s">
        <v>136</v>
      </c>
      <c r="F125" s="739">
        <v>33</v>
      </c>
      <c r="G125" s="256">
        <v>1.2</v>
      </c>
      <c r="H125" s="582">
        <v>10</v>
      </c>
      <c r="I125" s="267">
        <f t="shared" si="51"/>
        <v>12</v>
      </c>
      <c r="J125" s="257">
        <v>14</v>
      </c>
      <c r="K125" s="389">
        <f t="shared" si="52"/>
        <v>1.2000000000000002</v>
      </c>
      <c r="L125" s="102">
        <f t="shared" si="36"/>
        <v>27.2</v>
      </c>
      <c r="M125" s="50">
        <f t="shared" si="37"/>
        <v>39.6</v>
      </c>
      <c r="N125" s="102">
        <f t="shared" si="38"/>
        <v>396</v>
      </c>
      <c r="O125" s="102">
        <f t="shared" si="39"/>
        <v>462</v>
      </c>
      <c r="P125" s="102">
        <f t="shared" si="40"/>
        <v>39.6</v>
      </c>
      <c r="Q125" s="103">
        <f t="shared" si="41"/>
        <v>897.6</v>
      </c>
    </row>
    <row r="126" spans="1:17" s="56" customFormat="1" ht="24.9">
      <c r="A126" s="964">
        <f t="shared" si="50"/>
        <v>107</v>
      </c>
      <c r="B126" s="965"/>
      <c r="C126" s="885" t="s">
        <v>638</v>
      </c>
      <c r="D126" s="886" t="s">
        <v>1942</v>
      </c>
      <c r="E126" s="887" t="s">
        <v>136</v>
      </c>
      <c r="F126" s="739">
        <v>10</v>
      </c>
      <c r="G126" s="256">
        <v>1.2</v>
      </c>
      <c r="H126" s="582">
        <v>10</v>
      </c>
      <c r="I126" s="267">
        <f t="shared" si="51"/>
        <v>12</v>
      </c>
      <c r="J126" s="257">
        <v>16</v>
      </c>
      <c r="K126" s="389">
        <f t="shared" si="52"/>
        <v>1.2000000000000002</v>
      </c>
      <c r="L126" s="102">
        <f t="shared" si="36"/>
        <v>29.2</v>
      </c>
      <c r="M126" s="50">
        <f t="shared" si="37"/>
        <v>12</v>
      </c>
      <c r="N126" s="102">
        <f t="shared" si="38"/>
        <v>120</v>
      </c>
      <c r="O126" s="102">
        <f t="shared" si="39"/>
        <v>160</v>
      </c>
      <c r="P126" s="102">
        <f t="shared" si="40"/>
        <v>12</v>
      </c>
      <c r="Q126" s="103">
        <f t="shared" si="41"/>
        <v>292</v>
      </c>
    </row>
    <row r="127" spans="1:17" s="56" customFormat="1" ht="24.9">
      <c r="A127" s="964">
        <f t="shared" si="50"/>
        <v>108</v>
      </c>
      <c r="B127" s="965"/>
      <c r="C127" s="885" t="s">
        <v>639</v>
      </c>
      <c r="D127" s="886" t="s">
        <v>1943</v>
      </c>
      <c r="E127" s="887" t="s">
        <v>136</v>
      </c>
      <c r="F127" s="739">
        <v>3</v>
      </c>
      <c r="G127" s="256">
        <v>1.2</v>
      </c>
      <c r="H127" s="582">
        <v>10</v>
      </c>
      <c r="I127" s="267">
        <f t="shared" si="51"/>
        <v>12</v>
      </c>
      <c r="J127" s="257">
        <v>18</v>
      </c>
      <c r="K127" s="389">
        <f t="shared" si="52"/>
        <v>1.2000000000000002</v>
      </c>
      <c r="L127" s="102">
        <f t="shared" si="36"/>
        <v>31.2</v>
      </c>
      <c r="M127" s="50">
        <f t="shared" si="37"/>
        <v>3.6</v>
      </c>
      <c r="N127" s="102">
        <f t="shared" si="38"/>
        <v>36</v>
      </c>
      <c r="O127" s="102">
        <f t="shared" si="39"/>
        <v>54</v>
      </c>
      <c r="P127" s="102">
        <f t="shared" si="40"/>
        <v>3.6</v>
      </c>
      <c r="Q127" s="103">
        <f t="shared" si="41"/>
        <v>93.6</v>
      </c>
    </row>
    <row r="128" spans="1:17" s="56" customFormat="1" ht="24.9">
      <c r="A128" s="964">
        <f t="shared" si="50"/>
        <v>109</v>
      </c>
      <c r="B128" s="965"/>
      <c r="C128" s="885" t="s">
        <v>640</v>
      </c>
      <c r="D128" s="886" t="s">
        <v>1944</v>
      </c>
      <c r="E128" s="887" t="s">
        <v>136</v>
      </c>
      <c r="F128" s="739">
        <v>2</v>
      </c>
      <c r="G128" s="256">
        <v>1.2</v>
      </c>
      <c r="H128" s="582">
        <v>10</v>
      </c>
      <c r="I128" s="267">
        <f t="shared" si="51"/>
        <v>12</v>
      </c>
      <c r="J128" s="257">
        <v>35</v>
      </c>
      <c r="K128" s="389">
        <f t="shared" si="52"/>
        <v>1.2000000000000002</v>
      </c>
      <c r="L128" s="102">
        <f t="shared" si="36"/>
        <v>48.2</v>
      </c>
      <c r="M128" s="50">
        <f t="shared" si="37"/>
        <v>2.4</v>
      </c>
      <c r="N128" s="102">
        <f t="shared" si="38"/>
        <v>24</v>
      </c>
      <c r="O128" s="102">
        <f t="shared" si="39"/>
        <v>70</v>
      </c>
      <c r="P128" s="102">
        <f t="shared" si="40"/>
        <v>2.4</v>
      </c>
      <c r="Q128" s="103">
        <f t="shared" si="41"/>
        <v>96.4</v>
      </c>
    </row>
    <row r="129" spans="1:17" s="56" customFormat="1" ht="24.9">
      <c r="A129" s="964">
        <f t="shared" si="50"/>
        <v>110</v>
      </c>
      <c r="B129" s="965"/>
      <c r="C129" s="885" t="s">
        <v>641</v>
      </c>
      <c r="D129" s="886" t="s">
        <v>1945</v>
      </c>
      <c r="E129" s="887" t="s">
        <v>136</v>
      </c>
      <c r="F129" s="739">
        <v>9</v>
      </c>
      <c r="G129" s="256">
        <v>1.2</v>
      </c>
      <c r="H129" s="582">
        <v>10</v>
      </c>
      <c r="I129" s="267">
        <f t="shared" si="51"/>
        <v>12</v>
      </c>
      <c r="J129" s="257">
        <v>24.64</v>
      </c>
      <c r="K129" s="389">
        <f t="shared" si="52"/>
        <v>1.2000000000000002</v>
      </c>
      <c r="L129" s="102">
        <f t="shared" si="36"/>
        <v>37.840000000000003</v>
      </c>
      <c r="M129" s="50">
        <f t="shared" si="37"/>
        <v>10.8</v>
      </c>
      <c r="N129" s="102">
        <f t="shared" si="38"/>
        <v>108</v>
      </c>
      <c r="O129" s="102">
        <f t="shared" si="39"/>
        <v>221.76</v>
      </c>
      <c r="P129" s="102">
        <f t="shared" si="40"/>
        <v>10.8</v>
      </c>
      <c r="Q129" s="103">
        <f t="shared" si="41"/>
        <v>340.56</v>
      </c>
    </row>
    <row r="130" spans="1:17" s="56" customFormat="1">
      <c r="A130" s="964">
        <f t="shared" si="50"/>
        <v>111</v>
      </c>
      <c r="B130" s="965"/>
      <c r="C130" s="885" t="s">
        <v>642</v>
      </c>
      <c r="D130" s="886" t="s">
        <v>1946</v>
      </c>
      <c r="E130" s="887" t="s">
        <v>118</v>
      </c>
      <c r="F130" s="739">
        <v>7</v>
      </c>
      <c r="G130" s="256">
        <v>0.4</v>
      </c>
      <c r="H130" s="582">
        <v>10</v>
      </c>
      <c r="I130" s="267">
        <f t="shared" si="51"/>
        <v>4</v>
      </c>
      <c r="J130" s="257">
        <v>1.1000000000000001</v>
      </c>
      <c r="K130" s="389">
        <f t="shared" si="52"/>
        <v>0.4</v>
      </c>
      <c r="L130" s="102">
        <f t="shared" si="36"/>
        <v>5.5</v>
      </c>
      <c r="M130" s="50">
        <f t="shared" si="37"/>
        <v>2.8</v>
      </c>
      <c r="N130" s="102">
        <f t="shared" si="38"/>
        <v>28</v>
      </c>
      <c r="O130" s="102">
        <f t="shared" si="39"/>
        <v>7.7</v>
      </c>
      <c r="P130" s="102">
        <f t="shared" si="40"/>
        <v>2.8</v>
      </c>
      <c r="Q130" s="103">
        <f t="shared" si="41"/>
        <v>38.5</v>
      </c>
    </row>
    <row r="131" spans="1:17" s="56" customFormat="1">
      <c r="A131" s="964">
        <v>112</v>
      </c>
      <c r="B131" s="965"/>
      <c r="C131" s="885" t="s">
        <v>643</v>
      </c>
      <c r="D131" s="886" t="s">
        <v>1947</v>
      </c>
      <c r="E131" s="739" t="s">
        <v>118</v>
      </c>
      <c r="F131" s="739">
        <v>58</v>
      </c>
      <c r="G131" s="256">
        <v>0.4</v>
      </c>
      <c r="H131" s="582">
        <v>10</v>
      </c>
      <c r="I131" s="267">
        <f t="shared" si="51"/>
        <v>4</v>
      </c>
      <c r="J131" s="257">
        <v>0.9</v>
      </c>
      <c r="K131" s="389">
        <f t="shared" si="52"/>
        <v>0.4</v>
      </c>
      <c r="L131" s="102">
        <f t="shared" si="36"/>
        <v>5.3000000000000007</v>
      </c>
      <c r="M131" s="50">
        <f t="shared" si="37"/>
        <v>23.2</v>
      </c>
      <c r="N131" s="102">
        <f t="shared" si="38"/>
        <v>232</v>
      </c>
      <c r="O131" s="102">
        <f t="shared" si="39"/>
        <v>52.2</v>
      </c>
      <c r="P131" s="102">
        <f t="shared" si="40"/>
        <v>23.2</v>
      </c>
      <c r="Q131" s="103">
        <f t="shared" si="41"/>
        <v>307.39999999999998</v>
      </c>
    </row>
    <row r="132" spans="1:17" s="56" customFormat="1">
      <c r="A132" s="964">
        <v>113</v>
      </c>
      <c r="B132" s="965"/>
      <c r="C132" s="885" t="s">
        <v>644</v>
      </c>
      <c r="D132" s="886" t="s">
        <v>1948</v>
      </c>
      <c r="E132" s="739" t="s">
        <v>136</v>
      </c>
      <c r="F132" s="739">
        <v>11</v>
      </c>
      <c r="G132" s="256">
        <v>0.4</v>
      </c>
      <c r="H132" s="582">
        <v>10</v>
      </c>
      <c r="I132" s="267">
        <f t="shared" si="51"/>
        <v>4</v>
      </c>
      <c r="J132" s="257">
        <v>46.28</v>
      </c>
      <c r="K132" s="389">
        <f t="shared" si="52"/>
        <v>0.4</v>
      </c>
      <c r="L132" s="102">
        <f t="shared" si="36"/>
        <v>50.68</v>
      </c>
      <c r="M132" s="50">
        <f t="shared" si="37"/>
        <v>4.4000000000000004</v>
      </c>
      <c r="N132" s="102">
        <f t="shared" si="38"/>
        <v>44</v>
      </c>
      <c r="O132" s="102">
        <f t="shared" si="39"/>
        <v>509.08</v>
      </c>
      <c r="P132" s="102">
        <f t="shared" si="40"/>
        <v>4.4000000000000004</v>
      </c>
      <c r="Q132" s="103">
        <f t="shared" si="41"/>
        <v>557.4799999999999</v>
      </c>
    </row>
    <row r="133" spans="1:17" s="56" customFormat="1">
      <c r="A133" s="964">
        <v>114</v>
      </c>
      <c r="B133" s="965"/>
      <c r="C133" s="885" t="s">
        <v>1682</v>
      </c>
      <c r="D133" s="886" t="s">
        <v>1949</v>
      </c>
      <c r="E133" s="739" t="s">
        <v>118</v>
      </c>
      <c r="F133" s="739">
        <v>17</v>
      </c>
      <c r="G133" s="256">
        <v>0.4</v>
      </c>
      <c r="H133" s="582">
        <v>10</v>
      </c>
      <c r="I133" s="267">
        <f t="shared" si="51"/>
        <v>4</v>
      </c>
      <c r="J133" s="257">
        <v>52.39</v>
      </c>
      <c r="K133" s="389">
        <f t="shared" si="52"/>
        <v>0.4</v>
      </c>
      <c r="L133" s="102">
        <f t="shared" si="36"/>
        <v>56.79</v>
      </c>
      <c r="M133" s="50">
        <f t="shared" si="37"/>
        <v>6.8</v>
      </c>
      <c r="N133" s="102">
        <f t="shared" si="38"/>
        <v>68</v>
      </c>
      <c r="O133" s="102">
        <f t="shared" si="39"/>
        <v>890.63</v>
      </c>
      <c r="P133" s="102">
        <f t="shared" si="40"/>
        <v>6.8</v>
      </c>
      <c r="Q133" s="103">
        <f t="shared" si="41"/>
        <v>965.43</v>
      </c>
    </row>
    <row r="134" spans="1:17" s="56" customFormat="1">
      <c r="A134" s="964">
        <v>115</v>
      </c>
      <c r="B134" s="965"/>
      <c r="C134" s="885" t="s">
        <v>1950</v>
      </c>
      <c r="D134" s="886" t="s">
        <v>1951</v>
      </c>
      <c r="E134" s="739" t="s">
        <v>118</v>
      </c>
      <c r="F134" s="739">
        <v>4</v>
      </c>
      <c r="G134" s="256">
        <v>0.4</v>
      </c>
      <c r="H134" s="582">
        <v>10</v>
      </c>
      <c r="I134" s="267">
        <f t="shared" si="51"/>
        <v>4</v>
      </c>
      <c r="J134" s="257">
        <v>77.260000000000005</v>
      </c>
      <c r="K134" s="389">
        <f t="shared" si="52"/>
        <v>0.4</v>
      </c>
      <c r="L134" s="102">
        <f t="shared" ref="L134:L197" si="53">SUM(I134:K134)</f>
        <v>81.660000000000011</v>
      </c>
      <c r="M134" s="50">
        <f t="shared" ref="M134:M197" si="54">ROUND(G134*F134,2)</f>
        <v>1.6</v>
      </c>
      <c r="N134" s="102">
        <f t="shared" ref="N134:N197" si="55">ROUND(I134*F134,2)</f>
        <v>16</v>
      </c>
      <c r="O134" s="102">
        <f t="shared" ref="O134:O197" si="56">ROUND(J134*F134,2)</f>
        <v>309.04000000000002</v>
      </c>
      <c r="P134" s="102">
        <f t="shared" ref="P134:P197" si="57">ROUND(K134*F134,2)</f>
        <v>1.6</v>
      </c>
      <c r="Q134" s="103">
        <f t="shared" ref="Q134:Q197" si="58">SUM(N134:P134)</f>
        <v>326.64000000000004</v>
      </c>
    </row>
    <row r="135" spans="1:17" s="56" customFormat="1">
      <c r="A135" s="964">
        <v>116</v>
      </c>
      <c r="B135" s="965"/>
      <c r="C135" s="885" t="s">
        <v>645</v>
      </c>
      <c r="D135" s="886" t="s">
        <v>1884</v>
      </c>
      <c r="E135" s="739" t="s">
        <v>118</v>
      </c>
      <c r="F135" s="739">
        <v>25</v>
      </c>
      <c r="G135" s="256">
        <v>0.4</v>
      </c>
      <c r="H135" s="582">
        <v>10</v>
      </c>
      <c r="I135" s="267">
        <f t="shared" si="51"/>
        <v>4</v>
      </c>
      <c r="J135" s="257">
        <v>39.93</v>
      </c>
      <c r="K135" s="389">
        <f t="shared" si="52"/>
        <v>0.4</v>
      </c>
      <c r="L135" s="102">
        <f t="shared" si="53"/>
        <v>44.33</v>
      </c>
      <c r="M135" s="50">
        <f t="shared" si="54"/>
        <v>10</v>
      </c>
      <c r="N135" s="102">
        <f t="shared" si="55"/>
        <v>100</v>
      </c>
      <c r="O135" s="102">
        <f t="shared" si="56"/>
        <v>998.25</v>
      </c>
      <c r="P135" s="102">
        <f t="shared" si="57"/>
        <v>10</v>
      </c>
      <c r="Q135" s="103">
        <f t="shared" si="58"/>
        <v>1108.25</v>
      </c>
    </row>
    <row r="136" spans="1:17" s="56" customFormat="1" ht="24.9">
      <c r="A136" s="964">
        <f t="shared" ref="A136:A183" si="59">A135+1</f>
        <v>117</v>
      </c>
      <c r="B136" s="965"/>
      <c r="C136" s="885" t="s">
        <v>646</v>
      </c>
      <c r="D136" s="886" t="s">
        <v>1884</v>
      </c>
      <c r="E136" s="739" t="s">
        <v>136</v>
      </c>
      <c r="F136" s="739">
        <v>1</v>
      </c>
      <c r="G136" s="256">
        <v>3.5</v>
      </c>
      <c r="H136" s="582">
        <v>10</v>
      </c>
      <c r="I136" s="267">
        <f t="shared" si="51"/>
        <v>35</v>
      </c>
      <c r="J136" s="257">
        <v>60</v>
      </c>
      <c r="K136" s="389">
        <f t="shared" si="52"/>
        <v>3.5</v>
      </c>
      <c r="L136" s="102">
        <f t="shared" si="53"/>
        <v>98.5</v>
      </c>
      <c r="M136" s="50">
        <f t="shared" si="54"/>
        <v>3.5</v>
      </c>
      <c r="N136" s="102">
        <f t="shared" si="55"/>
        <v>35</v>
      </c>
      <c r="O136" s="102">
        <f t="shared" si="56"/>
        <v>60</v>
      </c>
      <c r="P136" s="102">
        <f t="shared" si="57"/>
        <v>3.5</v>
      </c>
      <c r="Q136" s="103">
        <f t="shared" si="58"/>
        <v>98.5</v>
      </c>
    </row>
    <row r="137" spans="1:17" s="56" customFormat="1">
      <c r="A137" s="964">
        <f t="shared" si="59"/>
        <v>118</v>
      </c>
      <c r="B137" s="965"/>
      <c r="C137" s="885" t="s">
        <v>647</v>
      </c>
      <c r="D137" s="886" t="s">
        <v>1952</v>
      </c>
      <c r="E137" s="739" t="s">
        <v>136</v>
      </c>
      <c r="F137" s="739">
        <v>1</v>
      </c>
      <c r="G137" s="256">
        <v>24</v>
      </c>
      <c r="H137" s="582">
        <v>10</v>
      </c>
      <c r="I137" s="267">
        <f t="shared" si="51"/>
        <v>240</v>
      </c>
      <c r="J137" s="257">
        <v>302</v>
      </c>
      <c r="K137" s="389">
        <f t="shared" si="52"/>
        <v>24</v>
      </c>
      <c r="L137" s="102">
        <f t="shared" si="53"/>
        <v>566</v>
      </c>
      <c r="M137" s="50">
        <f t="shared" si="54"/>
        <v>24</v>
      </c>
      <c r="N137" s="102">
        <f t="shared" si="55"/>
        <v>240</v>
      </c>
      <c r="O137" s="102">
        <f t="shared" si="56"/>
        <v>302</v>
      </c>
      <c r="P137" s="102">
        <f t="shared" si="57"/>
        <v>24</v>
      </c>
      <c r="Q137" s="103">
        <f t="shared" si="58"/>
        <v>566</v>
      </c>
    </row>
    <row r="138" spans="1:17" s="56" customFormat="1">
      <c r="A138" s="964"/>
      <c r="B138" s="965"/>
      <c r="C138" s="962" t="s">
        <v>1975</v>
      </c>
      <c r="D138" s="886" t="s">
        <v>1884</v>
      </c>
      <c r="E138" s="739"/>
      <c r="F138" s="739"/>
      <c r="G138" s="957"/>
      <c r="H138" s="958"/>
      <c r="I138" s="959"/>
      <c r="J138" s="957"/>
      <c r="K138" s="960"/>
      <c r="L138" s="102">
        <f t="shared" si="53"/>
        <v>0</v>
      </c>
      <c r="M138" s="50">
        <f t="shared" si="54"/>
        <v>0</v>
      </c>
      <c r="N138" s="102">
        <f t="shared" si="55"/>
        <v>0</v>
      </c>
      <c r="O138" s="102">
        <f t="shared" si="56"/>
        <v>0</v>
      </c>
      <c r="P138" s="102">
        <f t="shared" si="57"/>
        <v>0</v>
      </c>
      <c r="Q138" s="103">
        <f t="shared" si="58"/>
        <v>0</v>
      </c>
    </row>
    <row r="139" spans="1:17" s="56" customFormat="1">
      <c r="A139" s="964">
        <v>119</v>
      </c>
      <c r="B139" s="965"/>
      <c r="C139" s="888" t="s">
        <v>648</v>
      </c>
      <c r="D139" s="886" t="s">
        <v>1953</v>
      </c>
      <c r="E139" s="739" t="s">
        <v>111</v>
      </c>
      <c r="F139" s="739">
        <v>90</v>
      </c>
      <c r="G139" s="256">
        <v>0.65</v>
      </c>
      <c r="H139" s="582">
        <v>10</v>
      </c>
      <c r="I139" s="267">
        <f t="shared" ref="I139:I189" si="60">ROUND(G139*H139,2)</f>
        <v>6.5</v>
      </c>
      <c r="J139" s="257">
        <v>4.0999999999999996</v>
      </c>
      <c r="K139" s="389">
        <f t="shared" ref="K139:K180" si="61">I139*0.1</f>
        <v>0.65</v>
      </c>
      <c r="L139" s="102">
        <f t="shared" si="53"/>
        <v>11.25</v>
      </c>
      <c r="M139" s="50">
        <f t="shared" si="54"/>
        <v>58.5</v>
      </c>
      <c r="N139" s="102">
        <f t="shared" si="55"/>
        <v>585</v>
      </c>
      <c r="O139" s="102">
        <f t="shared" si="56"/>
        <v>369</v>
      </c>
      <c r="P139" s="102">
        <f t="shared" si="57"/>
        <v>58.5</v>
      </c>
      <c r="Q139" s="103">
        <f t="shared" si="58"/>
        <v>1012.5</v>
      </c>
    </row>
    <row r="140" spans="1:17" s="56" customFormat="1">
      <c r="A140" s="964">
        <f t="shared" si="59"/>
        <v>120</v>
      </c>
      <c r="B140" s="965"/>
      <c r="C140" s="888" t="s">
        <v>649</v>
      </c>
      <c r="D140" s="886" t="s">
        <v>1953</v>
      </c>
      <c r="E140" s="739" t="s">
        <v>111</v>
      </c>
      <c r="F140" s="739">
        <v>810</v>
      </c>
      <c r="G140" s="256">
        <v>0.65</v>
      </c>
      <c r="H140" s="582">
        <v>10</v>
      </c>
      <c r="I140" s="267">
        <f t="shared" si="60"/>
        <v>6.5</v>
      </c>
      <c r="J140" s="257">
        <v>4.25</v>
      </c>
      <c r="K140" s="389">
        <f t="shared" si="61"/>
        <v>0.65</v>
      </c>
      <c r="L140" s="102">
        <f t="shared" si="53"/>
        <v>11.4</v>
      </c>
      <c r="M140" s="50">
        <f t="shared" si="54"/>
        <v>526.5</v>
      </c>
      <c r="N140" s="102">
        <f t="shared" si="55"/>
        <v>5265</v>
      </c>
      <c r="O140" s="102">
        <f t="shared" si="56"/>
        <v>3442.5</v>
      </c>
      <c r="P140" s="102">
        <f t="shared" si="57"/>
        <v>526.5</v>
      </c>
      <c r="Q140" s="103">
        <f t="shared" si="58"/>
        <v>9234</v>
      </c>
    </row>
    <row r="141" spans="1:17" s="56" customFormat="1">
      <c r="A141" s="964">
        <f t="shared" si="59"/>
        <v>121</v>
      </c>
      <c r="B141" s="965"/>
      <c r="C141" s="888" t="s">
        <v>650</v>
      </c>
      <c r="D141" s="886" t="s">
        <v>1953</v>
      </c>
      <c r="E141" s="739" t="s">
        <v>111</v>
      </c>
      <c r="F141" s="739">
        <v>140</v>
      </c>
      <c r="G141" s="256">
        <v>0.65</v>
      </c>
      <c r="H141" s="582">
        <v>10</v>
      </c>
      <c r="I141" s="267">
        <f t="shared" si="60"/>
        <v>6.5</v>
      </c>
      <c r="J141" s="257">
        <v>4.4400000000000004</v>
      </c>
      <c r="K141" s="389">
        <f t="shared" si="61"/>
        <v>0.65</v>
      </c>
      <c r="L141" s="102">
        <f t="shared" si="53"/>
        <v>11.590000000000002</v>
      </c>
      <c r="M141" s="50">
        <f t="shared" si="54"/>
        <v>91</v>
      </c>
      <c r="N141" s="102">
        <f t="shared" si="55"/>
        <v>910</v>
      </c>
      <c r="O141" s="102">
        <f t="shared" si="56"/>
        <v>621.6</v>
      </c>
      <c r="P141" s="102">
        <f t="shared" si="57"/>
        <v>91</v>
      </c>
      <c r="Q141" s="103">
        <f t="shared" si="58"/>
        <v>1622.6</v>
      </c>
    </row>
    <row r="142" spans="1:17" s="56" customFormat="1">
      <c r="A142" s="964">
        <f t="shared" si="59"/>
        <v>122</v>
      </c>
      <c r="B142" s="965"/>
      <c r="C142" s="888" t="s">
        <v>651</v>
      </c>
      <c r="D142" s="886" t="s">
        <v>1953</v>
      </c>
      <c r="E142" s="887" t="s">
        <v>111</v>
      </c>
      <c r="F142" s="739">
        <v>110</v>
      </c>
      <c r="G142" s="256">
        <v>0.65</v>
      </c>
      <c r="H142" s="582">
        <v>10</v>
      </c>
      <c r="I142" s="267">
        <f t="shared" si="60"/>
        <v>6.5</v>
      </c>
      <c r="J142" s="257">
        <v>5.25</v>
      </c>
      <c r="K142" s="389">
        <f t="shared" si="61"/>
        <v>0.65</v>
      </c>
      <c r="L142" s="102">
        <f t="shared" si="53"/>
        <v>12.4</v>
      </c>
      <c r="M142" s="50">
        <f t="shared" si="54"/>
        <v>71.5</v>
      </c>
      <c r="N142" s="102">
        <f t="shared" si="55"/>
        <v>715</v>
      </c>
      <c r="O142" s="102">
        <f t="shared" si="56"/>
        <v>577.5</v>
      </c>
      <c r="P142" s="102">
        <f t="shared" si="57"/>
        <v>71.5</v>
      </c>
      <c r="Q142" s="103">
        <f t="shared" si="58"/>
        <v>1364</v>
      </c>
    </row>
    <row r="143" spans="1:17" s="56" customFormat="1">
      <c r="A143" s="964">
        <f t="shared" si="59"/>
        <v>123</v>
      </c>
      <c r="B143" s="965"/>
      <c r="C143" s="888" t="s">
        <v>652</v>
      </c>
      <c r="D143" s="886" t="s">
        <v>1954</v>
      </c>
      <c r="E143" s="887" t="s">
        <v>111</v>
      </c>
      <c r="F143" s="739">
        <v>80</v>
      </c>
      <c r="G143" s="256">
        <v>0.65</v>
      </c>
      <c r="H143" s="582">
        <v>10</v>
      </c>
      <c r="I143" s="267">
        <f t="shared" si="60"/>
        <v>6.5</v>
      </c>
      <c r="J143" s="257">
        <v>7</v>
      </c>
      <c r="K143" s="389">
        <f t="shared" si="61"/>
        <v>0.65</v>
      </c>
      <c r="L143" s="102">
        <f t="shared" si="53"/>
        <v>14.15</v>
      </c>
      <c r="M143" s="50">
        <f t="shared" si="54"/>
        <v>52</v>
      </c>
      <c r="N143" s="102">
        <f t="shared" si="55"/>
        <v>520</v>
      </c>
      <c r="O143" s="102">
        <f t="shared" si="56"/>
        <v>560</v>
      </c>
      <c r="P143" s="102">
        <f t="shared" si="57"/>
        <v>52</v>
      </c>
      <c r="Q143" s="103">
        <f t="shared" si="58"/>
        <v>1132</v>
      </c>
    </row>
    <row r="144" spans="1:17" s="56" customFormat="1">
      <c r="A144" s="964">
        <f t="shared" si="59"/>
        <v>124</v>
      </c>
      <c r="B144" s="965"/>
      <c r="C144" s="888" t="s">
        <v>1955</v>
      </c>
      <c r="D144" s="886" t="s">
        <v>1956</v>
      </c>
      <c r="E144" s="887" t="s">
        <v>111</v>
      </c>
      <c r="F144" s="739">
        <v>780</v>
      </c>
      <c r="G144" s="256">
        <v>0.65</v>
      </c>
      <c r="H144" s="582">
        <v>10</v>
      </c>
      <c r="I144" s="267">
        <f t="shared" si="60"/>
        <v>6.5</v>
      </c>
      <c r="J144" s="257">
        <v>0.52</v>
      </c>
      <c r="K144" s="389">
        <f t="shared" si="61"/>
        <v>0.65</v>
      </c>
      <c r="L144" s="102">
        <f t="shared" si="53"/>
        <v>7.67</v>
      </c>
      <c r="M144" s="50">
        <f t="shared" si="54"/>
        <v>507</v>
      </c>
      <c r="N144" s="102">
        <f t="shared" si="55"/>
        <v>5070</v>
      </c>
      <c r="O144" s="102">
        <f t="shared" si="56"/>
        <v>405.6</v>
      </c>
      <c r="P144" s="102">
        <f t="shared" si="57"/>
        <v>507</v>
      </c>
      <c r="Q144" s="103">
        <f t="shared" si="58"/>
        <v>5982.6</v>
      </c>
    </row>
    <row r="145" spans="1:17" s="56" customFormat="1">
      <c r="A145" s="964">
        <f t="shared" si="59"/>
        <v>125</v>
      </c>
      <c r="B145" s="965"/>
      <c r="C145" s="888" t="s">
        <v>653</v>
      </c>
      <c r="D145" s="886" t="s">
        <v>1957</v>
      </c>
      <c r="E145" s="887" t="s">
        <v>111</v>
      </c>
      <c r="F145" s="739">
        <v>410</v>
      </c>
      <c r="G145" s="256">
        <v>0.65</v>
      </c>
      <c r="H145" s="582">
        <v>10</v>
      </c>
      <c r="I145" s="267">
        <f t="shared" si="60"/>
        <v>6.5</v>
      </c>
      <c r="J145" s="257">
        <v>0.78</v>
      </c>
      <c r="K145" s="389">
        <f t="shared" si="61"/>
        <v>0.65</v>
      </c>
      <c r="L145" s="102">
        <f t="shared" si="53"/>
        <v>7.9300000000000006</v>
      </c>
      <c r="M145" s="50">
        <f t="shared" si="54"/>
        <v>266.5</v>
      </c>
      <c r="N145" s="102">
        <f t="shared" si="55"/>
        <v>2665</v>
      </c>
      <c r="O145" s="102">
        <f t="shared" si="56"/>
        <v>319.8</v>
      </c>
      <c r="P145" s="102">
        <f t="shared" si="57"/>
        <v>266.5</v>
      </c>
      <c r="Q145" s="103">
        <f t="shared" si="58"/>
        <v>3251.3</v>
      </c>
    </row>
    <row r="146" spans="1:17" s="56" customFormat="1">
      <c r="A146" s="964">
        <f t="shared" si="59"/>
        <v>126</v>
      </c>
      <c r="B146" s="965"/>
      <c r="C146" s="888" t="s">
        <v>654</v>
      </c>
      <c r="D146" s="886" t="s">
        <v>1958</v>
      </c>
      <c r="E146" s="887" t="s">
        <v>111</v>
      </c>
      <c r="F146" s="739">
        <v>95</v>
      </c>
      <c r="G146" s="256">
        <v>0.7</v>
      </c>
      <c r="H146" s="582">
        <v>10</v>
      </c>
      <c r="I146" s="267">
        <f t="shared" si="60"/>
        <v>7</v>
      </c>
      <c r="J146" s="257">
        <v>4.0999999999999996</v>
      </c>
      <c r="K146" s="389">
        <f t="shared" si="61"/>
        <v>0.70000000000000007</v>
      </c>
      <c r="L146" s="102">
        <f t="shared" si="53"/>
        <v>11.799999999999999</v>
      </c>
      <c r="M146" s="50">
        <f t="shared" si="54"/>
        <v>66.5</v>
      </c>
      <c r="N146" s="102">
        <f t="shared" si="55"/>
        <v>665</v>
      </c>
      <c r="O146" s="102">
        <f t="shared" si="56"/>
        <v>389.5</v>
      </c>
      <c r="P146" s="102">
        <f t="shared" si="57"/>
        <v>66.5</v>
      </c>
      <c r="Q146" s="103">
        <f t="shared" si="58"/>
        <v>1121</v>
      </c>
    </row>
    <row r="147" spans="1:17" s="56" customFormat="1">
      <c r="A147" s="964">
        <v>127</v>
      </c>
      <c r="B147" s="965"/>
      <c r="C147" s="888" t="s">
        <v>1683</v>
      </c>
      <c r="D147" s="886" t="s">
        <v>1958</v>
      </c>
      <c r="E147" s="887" t="s">
        <v>118</v>
      </c>
      <c r="F147" s="739">
        <v>4</v>
      </c>
      <c r="G147" s="256">
        <v>0.7</v>
      </c>
      <c r="H147" s="582">
        <v>10</v>
      </c>
      <c r="I147" s="267">
        <f t="shared" si="60"/>
        <v>7</v>
      </c>
      <c r="J147" s="257">
        <v>4.4000000000000004</v>
      </c>
      <c r="K147" s="389">
        <f t="shared" si="61"/>
        <v>0.70000000000000007</v>
      </c>
      <c r="L147" s="102">
        <f t="shared" si="53"/>
        <v>12.1</v>
      </c>
      <c r="M147" s="50">
        <f t="shared" si="54"/>
        <v>2.8</v>
      </c>
      <c r="N147" s="102">
        <f t="shared" si="55"/>
        <v>28</v>
      </c>
      <c r="O147" s="102">
        <f t="shared" si="56"/>
        <v>17.600000000000001</v>
      </c>
      <c r="P147" s="102">
        <f t="shared" si="57"/>
        <v>2.8</v>
      </c>
      <c r="Q147" s="103">
        <f t="shared" si="58"/>
        <v>48.4</v>
      </c>
    </row>
    <row r="148" spans="1:17" s="56" customFormat="1">
      <c r="A148" s="964">
        <v>128</v>
      </c>
      <c r="B148" s="965"/>
      <c r="C148" s="888" t="s">
        <v>655</v>
      </c>
      <c r="D148" s="886" t="s">
        <v>1958</v>
      </c>
      <c r="E148" s="887" t="s">
        <v>118</v>
      </c>
      <c r="F148" s="739">
        <v>8</v>
      </c>
      <c r="G148" s="256">
        <v>0.8</v>
      </c>
      <c r="H148" s="582">
        <v>10</v>
      </c>
      <c r="I148" s="267">
        <f t="shared" si="60"/>
        <v>8</v>
      </c>
      <c r="J148" s="257">
        <v>56.32</v>
      </c>
      <c r="K148" s="389">
        <f t="shared" si="61"/>
        <v>0.8</v>
      </c>
      <c r="L148" s="102">
        <f t="shared" si="53"/>
        <v>65.11999999999999</v>
      </c>
      <c r="M148" s="50">
        <f t="shared" si="54"/>
        <v>6.4</v>
      </c>
      <c r="N148" s="102">
        <f t="shared" si="55"/>
        <v>64</v>
      </c>
      <c r="O148" s="102">
        <f t="shared" si="56"/>
        <v>450.56</v>
      </c>
      <c r="P148" s="102">
        <f t="shared" si="57"/>
        <v>6.4</v>
      </c>
      <c r="Q148" s="103">
        <f t="shared" si="58"/>
        <v>520.95999999999992</v>
      </c>
    </row>
    <row r="149" spans="1:17" s="56" customFormat="1">
      <c r="A149" s="964">
        <f t="shared" si="59"/>
        <v>129</v>
      </c>
      <c r="B149" s="965"/>
      <c r="C149" s="888" t="s">
        <v>656</v>
      </c>
      <c r="D149" s="886" t="s">
        <v>1958</v>
      </c>
      <c r="E149" s="887" t="s">
        <v>118</v>
      </c>
      <c r="F149" s="739">
        <v>1</v>
      </c>
      <c r="G149" s="256">
        <v>0.8</v>
      </c>
      <c r="H149" s="582">
        <v>10</v>
      </c>
      <c r="I149" s="267">
        <f t="shared" si="60"/>
        <v>8</v>
      </c>
      <c r="J149" s="257">
        <v>64.150000000000006</v>
      </c>
      <c r="K149" s="389">
        <f t="shared" si="61"/>
        <v>0.8</v>
      </c>
      <c r="L149" s="102">
        <f t="shared" si="53"/>
        <v>72.95</v>
      </c>
      <c r="M149" s="50">
        <f t="shared" si="54"/>
        <v>0.8</v>
      </c>
      <c r="N149" s="102">
        <f t="shared" si="55"/>
        <v>8</v>
      </c>
      <c r="O149" s="102">
        <f t="shared" si="56"/>
        <v>64.150000000000006</v>
      </c>
      <c r="P149" s="102">
        <f t="shared" si="57"/>
        <v>0.8</v>
      </c>
      <c r="Q149" s="103">
        <f t="shared" si="58"/>
        <v>72.95</v>
      </c>
    </row>
    <row r="150" spans="1:17" s="56" customFormat="1">
      <c r="A150" s="964">
        <v>130</v>
      </c>
      <c r="B150" s="965"/>
      <c r="C150" s="888" t="s">
        <v>1684</v>
      </c>
      <c r="D150" s="886" t="s">
        <v>1958</v>
      </c>
      <c r="E150" s="887" t="s">
        <v>118</v>
      </c>
      <c r="F150" s="739">
        <v>4</v>
      </c>
      <c r="G150" s="256">
        <v>0.8</v>
      </c>
      <c r="H150" s="582">
        <v>10</v>
      </c>
      <c r="I150" s="267">
        <f t="shared" si="60"/>
        <v>8</v>
      </c>
      <c r="J150" s="257">
        <v>58.69</v>
      </c>
      <c r="K150" s="389">
        <f t="shared" si="61"/>
        <v>0.8</v>
      </c>
      <c r="L150" s="102">
        <f t="shared" si="53"/>
        <v>67.489999999999995</v>
      </c>
      <c r="M150" s="50">
        <f t="shared" si="54"/>
        <v>3.2</v>
      </c>
      <c r="N150" s="102">
        <f t="shared" si="55"/>
        <v>32</v>
      </c>
      <c r="O150" s="102">
        <f t="shared" si="56"/>
        <v>234.76</v>
      </c>
      <c r="P150" s="102">
        <f t="shared" si="57"/>
        <v>3.2</v>
      </c>
      <c r="Q150" s="103">
        <f t="shared" si="58"/>
        <v>269.95999999999998</v>
      </c>
    </row>
    <row r="151" spans="1:17" s="56" customFormat="1">
      <c r="A151" s="964">
        <v>131</v>
      </c>
      <c r="B151" s="965"/>
      <c r="C151" s="888" t="s">
        <v>1685</v>
      </c>
      <c r="D151" s="886" t="s">
        <v>1958</v>
      </c>
      <c r="E151" s="887" t="s">
        <v>118</v>
      </c>
      <c r="F151" s="739">
        <v>1</v>
      </c>
      <c r="G151" s="256">
        <v>0.8</v>
      </c>
      <c r="H151" s="582">
        <v>10</v>
      </c>
      <c r="I151" s="267">
        <f t="shared" si="60"/>
        <v>8</v>
      </c>
      <c r="J151" s="257">
        <v>66.52</v>
      </c>
      <c r="K151" s="389">
        <f t="shared" si="61"/>
        <v>0.8</v>
      </c>
      <c r="L151" s="102">
        <f t="shared" si="53"/>
        <v>75.319999999999993</v>
      </c>
      <c r="M151" s="50">
        <f t="shared" si="54"/>
        <v>0.8</v>
      </c>
      <c r="N151" s="102">
        <f t="shared" si="55"/>
        <v>8</v>
      </c>
      <c r="O151" s="102">
        <f t="shared" si="56"/>
        <v>66.52</v>
      </c>
      <c r="P151" s="102">
        <f t="shared" si="57"/>
        <v>0.8</v>
      </c>
      <c r="Q151" s="103">
        <f t="shared" si="58"/>
        <v>75.319999999999993</v>
      </c>
    </row>
    <row r="152" spans="1:17" s="56" customFormat="1">
      <c r="A152" s="964">
        <v>132</v>
      </c>
      <c r="B152" s="965"/>
      <c r="C152" s="888" t="s">
        <v>657</v>
      </c>
      <c r="D152" s="886" t="s">
        <v>1958</v>
      </c>
      <c r="E152" s="887" t="s">
        <v>118</v>
      </c>
      <c r="F152" s="739">
        <v>3</v>
      </c>
      <c r="G152" s="256">
        <v>0.8</v>
      </c>
      <c r="H152" s="582">
        <v>10</v>
      </c>
      <c r="I152" s="267">
        <f t="shared" si="60"/>
        <v>8</v>
      </c>
      <c r="J152" s="257">
        <v>64.849999999999994</v>
      </c>
      <c r="K152" s="389">
        <f t="shared" si="61"/>
        <v>0.8</v>
      </c>
      <c r="L152" s="102">
        <f t="shared" si="53"/>
        <v>73.649999999999991</v>
      </c>
      <c r="M152" s="50">
        <f t="shared" si="54"/>
        <v>2.4</v>
      </c>
      <c r="N152" s="102">
        <f t="shared" si="55"/>
        <v>24</v>
      </c>
      <c r="O152" s="102">
        <f t="shared" si="56"/>
        <v>194.55</v>
      </c>
      <c r="P152" s="102">
        <f t="shared" si="57"/>
        <v>2.4</v>
      </c>
      <c r="Q152" s="103">
        <f t="shared" si="58"/>
        <v>220.95000000000002</v>
      </c>
    </row>
    <row r="153" spans="1:17" s="56" customFormat="1">
      <c r="A153" s="964">
        <f t="shared" si="59"/>
        <v>133</v>
      </c>
      <c r="B153" s="965"/>
      <c r="C153" s="888" t="s">
        <v>658</v>
      </c>
      <c r="D153" s="886" t="s">
        <v>1953</v>
      </c>
      <c r="E153" s="887" t="s">
        <v>118</v>
      </c>
      <c r="F153" s="739">
        <v>2</v>
      </c>
      <c r="G153" s="256">
        <v>0.8</v>
      </c>
      <c r="H153" s="582">
        <v>10</v>
      </c>
      <c r="I153" s="267">
        <f t="shared" si="60"/>
        <v>8</v>
      </c>
      <c r="J153" s="257">
        <v>23.28</v>
      </c>
      <c r="K153" s="389">
        <f t="shared" si="61"/>
        <v>0.8</v>
      </c>
      <c r="L153" s="102">
        <f t="shared" si="53"/>
        <v>32.08</v>
      </c>
      <c r="M153" s="50">
        <f t="shared" si="54"/>
        <v>1.6</v>
      </c>
      <c r="N153" s="102">
        <f t="shared" si="55"/>
        <v>16</v>
      </c>
      <c r="O153" s="102">
        <f t="shared" si="56"/>
        <v>46.56</v>
      </c>
      <c r="P153" s="102">
        <f t="shared" si="57"/>
        <v>1.6</v>
      </c>
      <c r="Q153" s="103">
        <f t="shared" si="58"/>
        <v>64.16</v>
      </c>
    </row>
    <row r="154" spans="1:17" s="56" customFormat="1">
      <c r="A154" s="964">
        <f t="shared" si="59"/>
        <v>134</v>
      </c>
      <c r="B154" s="965"/>
      <c r="C154" s="888" t="s">
        <v>659</v>
      </c>
      <c r="D154" s="886" t="s">
        <v>1953</v>
      </c>
      <c r="E154" s="887" t="s">
        <v>118</v>
      </c>
      <c r="F154" s="739">
        <v>3</v>
      </c>
      <c r="G154" s="256">
        <v>0.8</v>
      </c>
      <c r="H154" s="582">
        <v>10</v>
      </c>
      <c r="I154" s="267">
        <f t="shared" si="60"/>
        <v>8</v>
      </c>
      <c r="J154" s="257">
        <v>26.2</v>
      </c>
      <c r="K154" s="389">
        <f t="shared" si="61"/>
        <v>0.8</v>
      </c>
      <c r="L154" s="102">
        <f t="shared" si="53"/>
        <v>35</v>
      </c>
      <c r="M154" s="50">
        <f t="shared" si="54"/>
        <v>2.4</v>
      </c>
      <c r="N154" s="102">
        <f t="shared" si="55"/>
        <v>24</v>
      </c>
      <c r="O154" s="102">
        <f t="shared" si="56"/>
        <v>78.599999999999994</v>
      </c>
      <c r="P154" s="102">
        <f t="shared" si="57"/>
        <v>2.4</v>
      </c>
      <c r="Q154" s="103">
        <f t="shared" si="58"/>
        <v>105</v>
      </c>
    </row>
    <row r="155" spans="1:17" s="56" customFormat="1">
      <c r="A155" s="964">
        <f t="shared" si="59"/>
        <v>135</v>
      </c>
      <c r="B155" s="965"/>
      <c r="C155" s="888" t="s">
        <v>660</v>
      </c>
      <c r="D155" s="886" t="s">
        <v>1953</v>
      </c>
      <c r="E155" s="887" t="s">
        <v>118</v>
      </c>
      <c r="F155" s="739">
        <v>5</v>
      </c>
      <c r="G155" s="256">
        <v>0.8</v>
      </c>
      <c r="H155" s="582">
        <v>10</v>
      </c>
      <c r="I155" s="267">
        <f t="shared" si="60"/>
        <v>8</v>
      </c>
      <c r="J155" s="257">
        <v>34.729999999999997</v>
      </c>
      <c r="K155" s="389">
        <f t="shared" si="61"/>
        <v>0.8</v>
      </c>
      <c r="L155" s="102">
        <f t="shared" si="53"/>
        <v>43.529999999999994</v>
      </c>
      <c r="M155" s="50">
        <f t="shared" si="54"/>
        <v>4</v>
      </c>
      <c r="N155" s="102">
        <f t="shared" si="55"/>
        <v>40</v>
      </c>
      <c r="O155" s="102">
        <f t="shared" si="56"/>
        <v>173.65</v>
      </c>
      <c r="P155" s="102">
        <f t="shared" si="57"/>
        <v>4</v>
      </c>
      <c r="Q155" s="103">
        <f t="shared" si="58"/>
        <v>217.65</v>
      </c>
    </row>
    <row r="156" spans="1:17" s="56" customFormat="1" ht="25.55">
      <c r="A156" s="964">
        <f t="shared" si="59"/>
        <v>136</v>
      </c>
      <c r="B156" s="965"/>
      <c r="C156" s="976" t="s">
        <v>661</v>
      </c>
      <c r="D156" s="886" t="s">
        <v>1959</v>
      </c>
      <c r="E156" s="887" t="s">
        <v>118</v>
      </c>
      <c r="F156" s="739">
        <v>11</v>
      </c>
      <c r="G156" s="256">
        <v>0.8</v>
      </c>
      <c r="H156" s="582">
        <v>10</v>
      </c>
      <c r="I156" s="267">
        <f t="shared" si="60"/>
        <v>8</v>
      </c>
      <c r="J156" s="257">
        <v>38.15</v>
      </c>
      <c r="K156" s="389">
        <f t="shared" si="61"/>
        <v>0.8</v>
      </c>
      <c r="L156" s="102">
        <f t="shared" si="53"/>
        <v>46.949999999999996</v>
      </c>
      <c r="M156" s="50">
        <f t="shared" si="54"/>
        <v>8.8000000000000007</v>
      </c>
      <c r="N156" s="102">
        <f t="shared" si="55"/>
        <v>88</v>
      </c>
      <c r="O156" s="102">
        <f t="shared" si="56"/>
        <v>419.65</v>
      </c>
      <c r="P156" s="102">
        <f t="shared" si="57"/>
        <v>8.8000000000000007</v>
      </c>
      <c r="Q156" s="103">
        <f t="shared" si="58"/>
        <v>516.44999999999993</v>
      </c>
    </row>
    <row r="157" spans="1:17" s="56" customFormat="1" ht="25.55">
      <c r="A157" s="964">
        <f t="shared" si="59"/>
        <v>137</v>
      </c>
      <c r="B157" s="965"/>
      <c r="C157" s="976" t="s">
        <v>662</v>
      </c>
      <c r="D157" s="886" t="s">
        <v>1960</v>
      </c>
      <c r="E157" s="887" t="s">
        <v>118</v>
      </c>
      <c r="F157" s="739">
        <v>5</v>
      </c>
      <c r="G157" s="256">
        <v>0.8</v>
      </c>
      <c r="H157" s="582">
        <v>10</v>
      </c>
      <c r="I157" s="267">
        <f t="shared" si="60"/>
        <v>8</v>
      </c>
      <c r="J157" s="257">
        <v>32.119999999999997</v>
      </c>
      <c r="K157" s="389">
        <f t="shared" si="61"/>
        <v>0.8</v>
      </c>
      <c r="L157" s="102">
        <f t="shared" si="53"/>
        <v>40.919999999999995</v>
      </c>
      <c r="M157" s="50">
        <f t="shared" si="54"/>
        <v>4</v>
      </c>
      <c r="N157" s="102">
        <f t="shared" si="55"/>
        <v>40</v>
      </c>
      <c r="O157" s="102">
        <f t="shared" si="56"/>
        <v>160.6</v>
      </c>
      <c r="P157" s="102">
        <f t="shared" si="57"/>
        <v>4</v>
      </c>
      <c r="Q157" s="103">
        <f t="shared" si="58"/>
        <v>204.6</v>
      </c>
    </row>
    <row r="158" spans="1:17" s="56" customFormat="1">
      <c r="A158" s="964">
        <v>138</v>
      </c>
      <c r="B158" s="965"/>
      <c r="C158" s="888" t="s">
        <v>1686</v>
      </c>
      <c r="D158" s="886" t="s">
        <v>1956</v>
      </c>
      <c r="E158" s="887" t="s">
        <v>118</v>
      </c>
      <c r="F158" s="739">
        <v>1</v>
      </c>
      <c r="G158" s="256">
        <v>0.8</v>
      </c>
      <c r="H158" s="582">
        <v>10</v>
      </c>
      <c r="I158" s="267">
        <f t="shared" si="60"/>
        <v>8</v>
      </c>
      <c r="J158" s="257">
        <v>28.55</v>
      </c>
      <c r="K158" s="389">
        <f t="shared" si="61"/>
        <v>0.8</v>
      </c>
      <c r="L158" s="102">
        <f t="shared" si="53"/>
        <v>37.349999999999994</v>
      </c>
      <c r="M158" s="50">
        <f t="shared" si="54"/>
        <v>0.8</v>
      </c>
      <c r="N158" s="102">
        <f t="shared" si="55"/>
        <v>8</v>
      </c>
      <c r="O158" s="102">
        <f t="shared" si="56"/>
        <v>28.55</v>
      </c>
      <c r="P158" s="102">
        <f t="shared" si="57"/>
        <v>0.8</v>
      </c>
      <c r="Q158" s="103">
        <f t="shared" si="58"/>
        <v>37.349999999999994</v>
      </c>
    </row>
    <row r="159" spans="1:17" s="56" customFormat="1">
      <c r="A159" s="964">
        <v>139</v>
      </c>
      <c r="B159" s="965"/>
      <c r="C159" s="888" t="s">
        <v>663</v>
      </c>
      <c r="D159" s="886" t="s">
        <v>1961</v>
      </c>
      <c r="E159" s="887" t="s">
        <v>118</v>
      </c>
      <c r="F159" s="739">
        <v>1</v>
      </c>
      <c r="G159" s="256">
        <v>0.8</v>
      </c>
      <c r="H159" s="582">
        <v>10</v>
      </c>
      <c r="I159" s="267">
        <f t="shared" si="60"/>
        <v>8</v>
      </c>
      <c r="J159" s="257">
        <v>68.510000000000005</v>
      </c>
      <c r="K159" s="389">
        <f t="shared" si="61"/>
        <v>0.8</v>
      </c>
      <c r="L159" s="102">
        <f t="shared" si="53"/>
        <v>77.31</v>
      </c>
      <c r="M159" s="50">
        <f t="shared" si="54"/>
        <v>0.8</v>
      </c>
      <c r="N159" s="102">
        <f t="shared" si="55"/>
        <v>8</v>
      </c>
      <c r="O159" s="102">
        <f t="shared" si="56"/>
        <v>68.510000000000005</v>
      </c>
      <c r="P159" s="102">
        <f t="shared" si="57"/>
        <v>0.8</v>
      </c>
      <c r="Q159" s="103">
        <f t="shared" si="58"/>
        <v>77.31</v>
      </c>
    </row>
    <row r="160" spans="1:17" s="56" customFormat="1">
      <c r="A160" s="964">
        <f t="shared" si="59"/>
        <v>140</v>
      </c>
      <c r="B160" s="965"/>
      <c r="C160" s="888" t="s">
        <v>664</v>
      </c>
      <c r="D160" s="886" t="s">
        <v>1953</v>
      </c>
      <c r="E160" s="887" t="s">
        <v>118</v>
      </c>
      <c r="F160" s="739">
        <v>2</v>
      </c>
      <c r="G160" s="256">
        <v>0.8</v>
      </c>
      <c r="H160" s="582">
        <v>10</v>
      </c>
      <c r="I160" s="267">
        <f t="shared" si="60"/>
        <v>8</v>
      </c>
      <c r="J160" s="257">
        <v>22.85</v>
      </c>
      <c r="K160" s="389">
        <f t="shared" si="61"/>
        <v>0.8</v>
      </c>
      <c r="L160" s="102">
        <f t="shared" si="53"/>
        <v>31.650000000000002</v>
      </c>
      <c r="M160" s="50">
        <f t="shared" si="54"/>
        <v>1.6</v>
      </c>
      <c r="N160" s="102">
        <f t="shared" si="55"/>
        <v>16</v>
      </c>
      <c r="O160" s="102">
        <f t="shared" si="56"/>
        <v>45.7</v>
      </c>
      <c r="P160" s="102">
        <f t="shared" si="57"/>
        <v>1.6</v>
      </c>
      <c r="Q160" s="103">
        <f t="shared" si="58"/>
        <v>63.300000000000004</v>
      </c>
    </row>
    <row r="161" spans="1:17" s="56" customFormat="1">
      <c r="A161" s="964">
        <f t="shared" si="59"/>
        <v>141</v>
      </c>
      <c r="B161" s="965"/>
      <c r="C161" s="888" t="s">
        <v>665</v>
      </c>
      <c r="D161" s="886" t="s">
        <v>1953</v>
      </c>
      <c r="E161" s="887" t="s">
        <v>118</v>
      </c>
      <c r="F161" s="739">
        <v>1</v>
      </c>
      <c r="G161" s="256">
        <v>0.8</v>
      </c>
      <c r="H161" s="582">
        <v>10</v>
      </c>
      <c r="I161" s="267">
        <f t="shared" si="60"/>
        <v>8</v>
      </c>
      <c r="J161" s="257">
        <v>26.35</v>
      </c>
      <c r="K161" s="389">
        <f t="shared" si="61"/>
        <v>0.8</v>
      </c>
      <c r="L161" s="102">
        <f t="shared" si="53"/>
        <v>35.15</v>
      </c>
      <c r="M161" s="50">
        <f t="shared" si="54"/>
        <v>0.8</v>
      </c>
      <c r="N161" s="102">
        <f t="shared" si="55"/>
        <v>8</v>
      </c>
      <c r="O161" s="102">
        <f t="shared" si="56"/>
        <v>26.35</v>
      </c>
      <c r="P161" s="102">
        <f t="shared" si="57"/>
        <v>0.8</v>
      </c>
      <c r="Q161" s="103">
        <f t="shared" si="58"/>
        <v>35.15</v>
      </c>
    </row>
    <row r="162" spans="1:17" s="56" customFormat="1">
      <c r="A162" s="964">
        <f t="shared" si="59"/>
        <v>142</v>
      </c>
      <c r="B162" s="965"/>
      <c r="C162" s="888" t="s">
        <v>666</v>
      </c>
      <c r="D162" s="886" t="s">
        <v>1953</v>
      </c>
      <c r="E162" s="887" t="s">
        <v>118</v>
      </c>
      <c r="F162" s="739">
        <v>12</v>
      </c>
      <c r="G162" s="256">
        <v>0.8</v>
      </c>
      <c r="H162" s="582">
        <v>10</v>
      </c>
      <c r="I162" s="267">
        <f t="shared" si="60"/>
        <v>8</v>
      </c>
      <c r="J162" s="257">
        <v>26.35</v>
      </c>
      <c r="K162" s="389">
        <f t="shared" si="61"/>
        <v>0.8</v>
      </c>
      <c r="L162" s="102">
        <f t="shared" si="53"/>
        <v>35.15</v>
      </c>
      <c r="M162" s="50">
        <f t="shared" si="54"/>
        <v>9.6</v>
      </c>
      <c r="N162" s="102">
        <f t="shared" si="55"/>
        <v>96</v>
      </c>
      <c r="O162" s="102">
        <f t="shared" si="56"/>
        <v>316.2</v>
      </c>
      <c r="P162" s="102">
        <f t="shared" si="57"/>
        <v>9.6</v>
      </c>
      <c r="Q162" s="103">
        <f t="shared" si="58"/>
        <v>421.8</v>
      </c>
    </row>
    <row r="163" spans="1:17" s="56" customFormat="1">
      <c r="A163" s="964">
        <f t="shared" si="59"/>
        <v>143</v>
      </c>
      <c r="B163" s="965"/>
      <c r="C163" s="888" t="s">
        <v>667</v>
      </c>
      <c r="D163" s="886" t="s">
        <v>1953</v>
      </c>
      <c r="E163" s="887" t="s">
        <v>118</v>
      </c>
      <c r="F163" s="739">
        <v>1</v>
      </c>
      <c r="G163" s="256">
        <v>0.8</v>
      </c>
      <c r="H163" s="582">
        <v>10</v>
      </c>
      <c r="I163" s="267">
        <f t="shared" si="60"/>
        <v>8</v>
      </c>
      <c r="J163" s="257">
        <v>28.18</v>
      </c>
      <c r="K163" s="389">
        <f t="shared" si="61"/>
        <v>0.8</v>
      </c>
      <c r="L163" s="102">
        <f t="shared" si="53"/>
        <v>36.979999999999997</v>
      </c>
      <c r="M163" s="50">
        <f t="shared" si="54"/>
        <v>0.8</v>
      </c>
      <c r="N163" s="102">
        <f t="shared" si="55"/>
        <v>8</v>
      </c>
      <c r="O163" s="102">
        <f t="shared" si="56"/>
        <v>28.18</v>
      </c>
      <c r="P163" s="102">
        <f t="shared" si="57"/>
        <v>0.8</v>
      </c>
      <c r="Q163" s="103">
        <f t="shared" si="58"/>
        <v>36.979999999999997</v>
      </c>
    </row>
    <row r="164" spans="1:17" s="56" customFormat="1">
      <c r="A164" s="964">
        <f t="shared" si="59"/>
        <v>144</v>
      </c>
      <c r="B164" s="965"/>
      <c r="C164" s="888" t="s">
        <v>668</v>
      </c>
      <c r="D164" s="886" t="s">
        <v>1953</v>
      </c>
      <c r="E164" s="887" t="s">
        <v>118</v>
      </c>
      <c r="F164" s="739">
        <v>2</v>
      </c>
      <c r="G164" s="256">
        <v>0.8</v>
      </c>
      <c r="H164" s="582">
        <v>10</v>
      </c>
      <c r="I164" s="267">
        <f t="shared" si="60"/>
        <v>8</v>
      </c>
      <c r="J164" s="257">
        <v>35.72</v>
      </c>
      <c r="K164" s="389">
        <f t="shared" si="61"/>
        <v>0.8</v>
      </c>
      <c r="L164" s="102">
        <f t="shared" si="53"/>
        <v>44.519999999999996</v>
      </c>
      <c r="M164" s="50">
        <f t="shared" si="54"/>
        <v>1.6</v>
      </c>
      <c r="N164" s="102">
        <f t="shared" si="55"/>
        <v>16</v>
      </c>
      <c r="O164" s="102">
        <f t="shared" si="56"/>
        <v>71.44</v>
      </c>
      <c r="P164" s="102">
        <f t="shared" si="57"/>
        <v>1.6</v>
      </c>
      <c r="Q164" s="103">
        <f t="shared" si="58"/>
        <v>89.039999999999992</v>
      </c>
    </row>
    <row r="165" spans="1:17" s="56" customFormat="1">
      <c r="A165" s="964">
        <f t="shared" si="59"/>
        <v>145</v>
      </c>
      <c r="B165" s="965"/>
      <c r="C165" s="888" t="s">
        <v>669</v>
      </c>
      <c r="D165" s="886" t="s">
        <v>1953</v>
      </c>
      <c r="E165" s="887" t="s">
        <v>118</v>
      </c>
      <c r="F165" s="739">
        <v>5</v>
      </c>
      <c r="G165" s="256">
        <v>0.8</v>
      </c>
      <c r="H165" s="582">
        <v>10</v>
      </c>
      <c r="I165" s="267">
        <f t="shared" si="60"/>
        <v>8</v>
      </c>
      <c r="J165" s="257">
        <v>38.200000000000003</v>
      </c>
      <c r="K165" s="389">
        <f t="shared" si="61"/>
        <v>0.8</v>
      </c>
      <c r="L165" s="102">
        <f t="shared" si="53"/>
        <v>47</v>
      </c>
      <c r="M165" s="50">
        <f t="shared" si="54"/>
        <v>4</v>
      </c>
      <c r="N165" s="102">
        <f t="shared" si="55"/>
        <v>40</v>
      </c>
      <c r="O165" s="102">
        <f t="shared" si="56"/>
        <v>191</v>
      </c>
      <c r="P165" s="102">
        <f t="shared" si="57"/>
        <v>4</v>
      </c>
      <c r="Q165" s="103">
        <f t="shared" si="58"/>
        <v>235</v>
      </c>
    </row>
    <row r="166" spans="1:17" s="56" customFormat="1">
      <c r="A166" s="964">
        <f t="shared" si="59"/>
        <v>146</v>
      </c>
      <c r="B166" s="965"/>
      <c r="C166" s="888" t="s">
        <v>670</v>
      </c>
      <c r="D166" s="886" t="s">
        <v>1953</v>
      </c>
      <c r="E166" s="887" t="s">
        <v>118</v>
      </c>
      <c r="F166" s="739">
        <v>1</v>
      </c>
      <c r="G166" s="256">
        <v>0.8</v>
      </c>
      <c r="H166" s="582">
        <v>10</v>
      </c>
      <c r="I166" s="267">
        <f t="shared" si="60"/>
        <v>8</v>
      </c>
      <c r="J166" s="257">
        <v>35.75</v>
      </c>
      <c r="K166" s="389">
        <f t="shared" si="61"/>
        <v>0.8</v>
      </c>
      <c r="L166" s="102">
        <f t="shared" si="53"/>
        <v>44.55</v>
      </c>
      <c r="M166" s="50">
        <f t="shared" si="54"/>
        <v>0.8</v>
      </c>
      <c r="N166" s="102">
        <f t="shared" si="55"/>
        <v>8</v>
      </c>
      <c r="O166" s="102">
        <f t="shared" si="56"/>
        <v>35.75</v>
      </c>
      <c r="P166" s="102">
        <f t="shared" si="57"/>
        <v>0.8</v>
      </c>
      <c r="Q166" s="103">
        <f t="shared" si="58"/>
        <v>44.55</v>
      </c>
    </row>
    <row r="167" spans="1:17" s="56" customFormat="1">
      <c r="A167" s="964">
        <f t="shared" si="59"/>
        <v>147</v>
      </c>
      <c r="B167" s="965"/>
      <c r="C167" s="888" t="s">
        <v>671</v>
      </c>
      <c r="D167" s="886" t="s">
        <v>1953</v>
      </c>
      <c r="E167" s="887" t="s">
        <v>118</v>
      </c>
      <c r="F167" s="739">
        <v>2</v>
      </c>
      <c r="G167" s="256">
        <v>0.8</v>
      </c>
      <c r="H167" s="582">
        <v>10</v>
      </c>
      <c r="I167" s="267">
        <f t="shared" si="60"/>
        <v>8</v>
      </c>
      <c r="J167" s="257">
        <v>34.36</v>
      </c>
      <c r="K167" s="389">
        <f t="shared" si="61"/>
        <v>0.8</v>
      </c>
      <c r="L167" s="102">
        <f t="shared" si="53"/>
        <v>43.16</v>
      </c>
      <c r="M167" s="50">
        <f t="shared" si="54"/>
        <v>1.6</v>
      </c>
      <c r="N167" s="102">
        <f t="shared" si="55"/>
        <v>16</v>
      </c>
      <c r="O167" s="102">
        <f t="shared" si="56"/>
        <v>68.72</v>
      </c>
      <c r="P167" s="102">
        <f t="shared" si="57"/>
        <v>1.6</v>
      </c>
      <c r="Q167" s="103">
        <f t="shared" si="58"/>
        <v>86.32</v>
      </c>
    </row>
    <row r="168" spans="1:17" s="56" customFormat="1">
      <c r="A168" s="964">
        <f t="shared" si="59"/>
        <v>148</v>
      </c>
      <c r="B168" s="965"/>
      <c r="C168" s="888" t="s">
        <v>672</v>
      </c>
      <c r="D168" s="886" t="s">
        <v>1953</v>
      </c>
      <c r="E168" s="887" t="s">
        <v>118</v>
      </c>
      <c r="F168" s="739">
        <v>42</v>
      </c>
      <c r="G168" s="256">
        <v>0.8</v>
      </c>
      <c r="H168" s="582">
        <v>10</v>
      </c>
      <c r="I168" s="267">
        <f t="shared" si="60"/>
        <v>8</v>
      </c>
      <c r="J168" s="257">
        <v>35.72</v>
      </c>
      <c r="K168" s="389">
        <f t="shared" si="61"/>
        <v>0.8</v>
      </c>
      <c r="L168" s="102">
        <f t="shared" si="53"/>
        <v>44.519999999999996</v>
      </c>
      <c r="M168" s="50">
        <f t="shared" si="54"/>
        <v>33.6</v>
      </c>
      <c r="N168" s="102">
        <f t="shared" si="55"/>
        <v>336</v>
      </c>
      <c r="O168" s="102">
        <f t="shared" si="56"/>
        <v>1500.24</v>
      </c>
      <c r="P168" s="102">
        <f t="shared" si="57"/>
        <v>33.6</v>
      </c>
      <c r="Q168" s="103">
        <f t="shared" si="58"/>
        <v>1869.84</v>
      </c>
    </row>
    <row r="169" spans="1:17" s="56" customFormat="1">
      <c r="A169" s="964">
        <f t="shared" si="59"/>
        <v>149</v>
      </c>
      <c r="B169" s="965"/>
      <c r="C169" s="888" t="s">
        <v>673</v>
      </c>
      <c r="D169" s="886" t="s">
        <v>1953</v>
      </c>
      <c r="E169" s="739" t="s">
        <v>118</v>
      </c>
      <c r="F169" s="739">
        <v>2</v>
      </c>
      <c r="G169" s="256">
        <v>0.8</v>
      </c>
      <c r="H169" s="582">
        <v>10</v>
      </c>
      <c r="I169" s="267">
        <f t="shared" si="60"/>
        <v>8</v>
      </c>
      <c r="J169" s="257">
        <v>38.200000000000003</v>
      </c>
      <c r="K169" s="389">
        <f t="shared" si="61"/>
        <v>0.8</v>
      </c>
      <c r="L169" s="102">
        <f t="shared" si="53"/>
        <v>47</v>
      </c>
      <c r="M169" s="50">
        <f t="shared" si="54"/>
        <v>1.6</v>
      </c>
      <c r="N169" s="102">
        <f t="shared" si="55"/>
        <v>16</v>
      </c>
      <c r="O169" s="102">
        <f t="shared" si="56"/>
        <v>76.400000000000006</v>
      </c>
      <c r="P169" s="102">
        <f t="shared" si="57"/>
        <v>1.6</v>
      </c>
      <c r="Q169" s="103">
        <f t="shared" si="58"/>
        <v>94</v>
      </c>
    </row>
    <row r="170" spans="1:17" s="56" customFormat="1">
      <c r="A170" s="964">
        <f t="shared" si="59"/>
        <v>150</v>
      </c>
      <c r="B170" s="965"/>
      <c r="C170" s="888" t="s">
        <v>674</v>
      </c>
      <c r="D170" s="886" t="s">
        <v>1953</v>
      </c>
      <c r="E170" s="739" t="s">
        <v>118</v>
      </c>
      <c r="F170" s="739">
        <v>105</v>
      </c>
      <c r="G170" s="256">
        <v>0.8</v>
      </c>
      <c r="H170" s="582">
        <v>10</v>
      </c>
      <c r="I170" s="267">
        <f t="shared" si="60"/>
        <v>8</v>
      </c>
      <c r="J170" s="257">
        <v>42.78</v>
      </c>
      <c r="K170" s="389">
        <f t="shared" si="61"/>
        <v>0.8</v>
      </c>
      <c r="L170" s="102">
        <f t="shared" si="53"/>
        <v>51.58</v>
      </c>
      <c r="M170" s="50">
        <f t="shared" si="54"/>
        <v>84</v>
      </c>
      <c r="N170" s="102">
        <f t="shared" si="55"/>
        <v>840</v>
      </c>
      <c r="O170" s="102">
        <f t="shared" si="56"/>
        <v>4491.8999999999996</v>
      </c>
      <c r="P170" s="102">
        <f t="shared" si="57"/>
        <v>84</v>
      </c>
      <c r="Q170" s="103">
        <f t="shared" si="58"/>
        <v>5415.9</v>
      </c>
    </row>
    <row r="171" spans="1:17" s="56" customFormat="1">
      <c r="A171" s="964">
        <f t="shared" si="59"/>
        <v>151</v>
      </c>
      <c r="B171" s="965"/>
      <c r="C171" s="888" t="s">
        <v>675</v>
      </c>
      <c r="D171" s="886" t="s">
        <v>1953</v>
      </c>
      <c r="E171" s="739" t="s">
        <v>118</v>
      </c>
      <c r="F171" s="739">
        <v>1</v>
      </c>
      <c r="G171" s="256">
        <v>0.8</v>
      </c>
      <c r="H171" s="582">
        <v>10</v>
      </c>
      <c r="I171" s="267">
        <f t="shared" si="60"/>
        <v>8</v>
      </c>
      <c r="J171" s="257">
        <v>35.75</v>
      </c>
      <c r="K171" s="389">
        <f t="shared" si="61"/>
        <v>0.8</v>
      </c>
      <c r="L171" s="102">
        <f t="shared" si="53"/>
        <v>44.55</v>
      </c>
      <c r="M171" s="50">
        <f t="shared" si="54"/>
        <v>0.8</v>
      </c>
      <c r="N171" s="102">
        <f t="shared" si="55"/>
        <v>8</v>
      </c>
      <c r="O171" s="102">
        <f t="shared" si="56"/>
        <v>35.75</v>
      </c>
      <c r="P171" s="102">
        <f t="shared" si="57"/>
        <v>0.8</v>
      </c>
      <c r="Q171" s="103">
        <f t="shared" si="58"/>
        <v>44.55</v>
      </c>
    </row>
    <row r="172" spans="1:17" s="56" customFormat="1">
      <c r="A172" s="964">
        <f t="shared" si="59"/>
        <v>152</v>
      </c>
      <c r="B172" s="965"/>
      <c r="C172" s="888" t="s">
        <v>676</v>
      </c>
      <c r="D172" s="886" t="s">
        <v>1953</v>
      </c>
      <c r="E172" s="739" t="s">
        <v>118</v>
      </c>
      <c r="F172" s="739">
        <v>2</v>
      </c>
      <c r="G172" s="256">
        <v>0.8</v>
      </c>
      <c r="H172" s="582">
        <v>10</v>
      </c>
      <c r="I172" s="267">
        <f t="shared" si="60"/>
        <v>8</v>
      </c>
      <c r="J172" s="257">
        <v>38.18</v>
      </c>
      <c r="K172" s="389">
        <f t="shared" si="61"/>
        <v>0.8</v>
      </c>
      <c r="L172" s="102">
        <f t="shared" si="53"/>
        <v>46.98</v>
      </c>
      <c r="M172" s="50">
        <f t="shared" si="54"/>
        <v>1.6</v>
      </c>
      <c r="N172" s="102">
        <f t="shared" si="55"/>
        <v>16</v>
      </c>
      <c r="O172" s="102">
        <f t="shared" si="56"/>
        <v>76.36</v>
      </c>
      <c r="P172" s="102">
        <f t="shared" si="57"/>
        <v>1.6</v>
      </c>
      <c r="Q172" s="103">
        <f t="shared" si="58"/>
        <v>93.96</v>
      </c>
    </row>
    <row r="173" spans="1:17" s="56" customFormat="1" ht="25.55">
      <c r="A173" s="964">
        <f t="shared" si="59"/>
        <v>153</v>
      </c>
      <c r="B173" s="965"/>
      <c r="C173" s="976" t="s">
        <v>677</v>
      </c>
      <c r="D173" s="886" t="s">
        <v>1953</v>
      </c>
      <c r="E173" s="739" t="s">
        <v>136</v>
      </c>
      <c r="F173" s="739">
        <v>20</v>
      </c>
      <c r="G173" s="256">
        <v>0.8</v>
      </c>
      <c r="H173" s="582">
        <v>10</v>
      </c>
      <c r="I173" s="267">
        <f t="shared" si="60"/>
        <v>8</v>
      </c>
      <c r="J173" s="257">
        <v>50.82</v>
      </c>
      <c r="K173" s="389">
        <f t="shared" si="61"/>
        <v>0.8</v>
      </c>
      <c r="L173" s="102">
        <f t="shared" si="53"/>
        <v>59.62</v>
      </c>
      <c r="M173" s="50">
        <f t="shared" si="54"/>
        <v>16</v>
      </c>
      <c r="N173" s="102">
        <f t="shared" si="55"/>
        <v>160</v>
      </c>
      <c r="O173" s="102">
        <f t="shared" si="56"/>
        <v>1016.4</v>
      </c>
      <c r="P173" s="102">
        <f t="shared" si="57"/>
        <v>16</v>
      </c>
      <c r="Q173" s="103">
        <f t="shared" si="58"/>
        <v>1192.4000000000001</v>
      </c>
    </row>
    <row r="174" spans="1:17" s="56" customFormat="1">
      <c r="A174" s="964">
        <f t="shared" si="59"/>
        <v>154</v>
      </c>
      <c r="B174" s="965"/>
      <c r="C174" s="888" t="s">
        <v>678</v>
      </c>
      <c r="D174" s="886" t="s">
        <v>1962</v>
      </c>
      <c r="E174" s="739" t="s">
        <v>111</v>
      </c>
      <c r="F174" s="739">
        <v>23</v>
      </c>
      <c r="G174" s="256">
        <v>1.1000000000000001</v>
      </c>
      <c r="H174" s="582">
        <v>10</v>
      </c>
      <c r="I174" s="267">
        <f t="shared" si="60"/>
        <v>11</v>
      </c>
      <c r="J174" s="257">
        <v>12</v>
      </c>
      <c r="K174" s="389">
        <f t="shared" si="61"/>
        <v>1.1000000000000001</v>
      </c>
      <c r="L174" s="102">
        <f t="shared" si="53"/>
        <v>24.1</v>
      </c>
      <c r="M174" s="50">
        <f t="shared" si="54"/>
        <v>25.3</v>
      </c>
      <c r="N174" s="102">
        <f t="shared" si="55"/>
        <v>253</v>
      </c>
      <c r="O174" s="102">
        <f t="shared" si="56"/>
        <v>276</v>
      </c>
      <c r="P174" s="102">
        <f t="shared" si="57"/>
        <v>25.3</v>
      </c>
      <c r="Q174" s="103">
        <f t="shared" si="58"/>
        <v>554.29999999999995</v>
      </c>
    </row>
    <row r="175" spans="1:17" s="56" customFormat="1">
      <c r="A175" s="964">
        <f t="shared" si="59"/>
        <v>155</v>
      </c>
      <c r="B175" s="965"/>
      <c r="C175" s="888" t="s">
        <v>679</v>
      </c>
      <c r="D175" s="886" t="s">
        <v>1963</v>
      </c>
      <c r="E175" s="739" t="s">
        <v>111</v>
      </c>
      <c r="F175" s="739">
        <v>20</v>
      </c>
      <c r="G175" s="256">
        <v>0.65</v>
      </c>
      <c r="H175" s="582">
        <v>10</v>
      </c>
      <c r="I175" s="267">
        <f t="shared" si="60"/>
        <v>6.5</v>
      </c>
      <c r="J175" s="257">
        <v>6.99</v>
      </c>
      <c r="K175" s="389">
        <f t="shared" si="61"/>
        <v>0.65</v>
      </c>
      <c r="L175" s="102">
        <f t="shared" si="53"/>
        <v>14.14</v>
      </c>
      <c r="M175" s="50">
        <f t="shared" si="54"/>
        <v>13</v>
      </c>
      <c r="N175" s="102">
        <f t="shared" si="55"/>
        <v>130</v>
      </c>
      <c r="O175" s="102">
        <f t="shared" si="56"/>
        <v>139.80000000000001</v>
      </c>
      <c r="P175" s="102">
        <f t="shared" si="57"/>
        <v>13</v>
      </c>
      <c r="Q175" s="103">
        <f t="shared" si="58"/>
        <v>282.8</v>
      </c>
    </row>
    <row r="176" spans="1:17" s="56" customFormat="1">
      <c r="A176" s="964">
        <f t="shared" si="59"/>
        <v>156</v>
      </c>
      <c r="B176" s="965"/>
      <c r="C176" s="888" t="s">
        <v>680</v>
      </c>
      <c r="D176" s="886" t="s">
        <v>1964</v>
      </c>
      <c r="E176" s="887" t="s">
        <v>111</v>
      </c>
      <c r="F176" s="739">
        <v>30</v>
      </c>
      <c r="G176" s="256">
        <v>0.12</v>
      </c>
      <c r="H176" s="582">
        <v>10</v>
      </c>
      <c r="I176" s="267">
        <f>ROUND(G176*H176,2)</f>
        <v>1.2</v>
      </c>
      <c r="J176" s="257">
        <v>3.44</v>
      </c>
      <c r="K176" s="389">
        <f t="shared" si="61"/>
        <v>0.12</v>
      </c>
      <c r="L176" s="102">
        <f t="shared" si="53"/>
        <v>4.76</v>
      </c>
      <c r="M176" s="50">
        <f t="shared" si="54"/>
        <v>3.6</v>
      </c>
      <c r="N176" s="102">
        <f t="shared" si="55"/>
        <v>36</v>
      </c>
      <c r="O176" s="102">
        <f t="shared" si="56"/>
        <v>103.2</v>
      </c>
      <c r="P176" s="102">
        <f t="shared" si="57"/>
        <v>3.6</v>
      </c>
      <c r="Q176" s="103">
        <f t="shared" si="58"/>
        <v>142.79999999999998</v>
      </c>
    </row>
    <row r="177" spans="1:17" s="56" customFormat="1">
      <c r="A177" s="964">
        <f t="shared" si="59"/>
        <v>157</v>
      </c>
      <c r="B177" s="965"/>
      <c r="C177" s="888" t="s">
        <v>681</v>
      </c>
      <c r="D177" s="886" t="s">
        <v>1964</v>
      </c>
      <c r="E177" s="887" t="s">
        <v>111</v>
      </c>
      <c r="F177" s="739">
        <v>100</v>
      </c>
      <c r="G177" s="256">
        <v>0.12</v>
      </c>
      <c r="H177" s="582">
        <v>10</v>
      </c>
      <c r="I177" s="267">
        <f>ROUND(G177*H177,2)</f>
        <v>1.2</v>
      </c>
      <c r="J177" s="257">
        <v>1.95</v>
      </c>
      <c r="K177" s="389">
        <f t="shared" si="61"/>
        <v>0.12</v>
      </c>
      <c r="L177" s="102">
        <f t="shared" si="53"/>
        <v>3.27</v>
      </c>
      <c r="M177" s="50">
        <f t="shared" si="54"/>
        <v>12</v>
      </c>
      <c r="N177" s="102">
        <f t="shared" si="55"/>
        <v>120</v>
      </c>
      <c r="O177" s="102">
        <f t="shared" si="56"/>
        <v>195</v>
      </c>
      <c r="P177" s="102">
        <f t="shared" si="57"/>
        <v>12</v>
      </c>
      <c r="Q177" s="103">
        <f t="shared" si="58"/>
        <v>327</v>
      </c>
    </row>
    <row r="178" spans="1:17" s="56" customFormat="1">
      <c r="A178" s="964">
        <f t="shared" si="59"/>
        <v>158</v>
      </c>
      <c r="B178" s="965"/>
      <c r="C178" s="888" t="s">
        <v>682</v>
      </c>
      <c r="D178" s="886" t="s">
        <v>1964</v>
      </c>
      <c r="E178" s="977" t="s">
        <v>111</v>
      </c>
      <c r="F178" s="739">
        <v>200</v>
      </c>
      <c r="G178" s="256">
        <v>0.12</v>
      </c>
      <c r="H178" s="582">
        <v>10</v>
      </c>
      <c r="I178" s="267">
        <f t="shared" ref="I178:I180" si="62">ROUND(G178*H178,2)</f>
        <v>1.2</v>
      </c>
      <c r="J178" s="257">
        <v>1.2</v>
      </c>
      <c r="K178" s="389">
        <f t="shared" si="61"/>
        <v>0.12</v>
      </c>
      <c r="L178" s="102">
        <f t="shared" si="53"/>
        <v>2.52</v>
      </c>
      <c r="M178" s="50">
        <f t="shared" si="54"/>
        <v>24</v>
      </c>
      <c r="N178" s="102">
        <f t="shared" si="55"/>
        <v>240</v>
      </c>
      <c r="O178" s="102">
        <f t="shared" si="56"/>
        <v>240</v>
      </c>
      <c r="P178" s="102">
        <f t="shared" si="57"/>
        <v>24</v>
      </c>
      <c r="Q178" s="103">
        <f t="shared" si="58"/>
        <v>504</v>
      </c>
    </row>
    <row r="179" spans="1:17" s="56" customFormat="1">
      <c r="A179" s="964">
        <f t="shared" si="59"/>
        <v>159</v>
      </c>
      <c r="B179" s="965"/>
      <c r="C179" s="888" t="s">
        <v>683</v>
      </c>
      <c r="D179" s="886" t="s">
        <v>1964</v>
      </c>
      <c r="E179" s="887" t="s">
        <v>111</v>
      </c>
      <c r="F179" s="739">
        <v>300</v>
      </c>
      <c r="G179" s="256">
        <v>0.12</v>
      </c>
      <c r="H179" s="582">
        <v>10</v>
      </c>
      <c r="I179" s="267">
        <f t="shared" si="62"/>
        <v>1.2</v>
      </c>
      <c r="J179" s="257">
        <v>0.72</v>
      </c>
      <c r="K179" s="389">
        <f t="shared" si="61"/>
        <v>0.12</v>
      </c>
      <c r="L179" s="102">
        <f t="shared" si="53"/>
        <v>2.04</v>
      </c>
      <c r="M179" s="50">
        <f t="shared" si="54"/>
        <v>36</v>
      </c>
      <c r="N179" s="102">
        <f t="shared" si="55"/>
        <v>360</v>
      </c>
      <c r="O179" s="102">
        <f t="shared" si="56"/>
        <v>216</v>
      </c>
      <c r="P179" s="102">
        <f t="shared" si="57"/>
        <v>36</v>
      </c>
      <c r="Q179" s="103">
        <f t="shared" si="58"/>
        <v>612</v>
      </c>
    </row>
    <row r="180" spans="1:17" s="56" customFormat="1">
      <c r="A180" s="964">
        <f t="shared" si="59"/>
        <v>160</v>
      </c>
      <c r="B180" s="965"/>
      <c r="C180" s="888" t="s">
        <v>684</v>
      </c>
      <c r="D180" s="886" t="s">
        <v>1964</v>
      </c>
      <c r="E180" s="887" t="s">
        <v>111</v>
      </c>
      <c r="F180" s="739">
        <v>400</v>
      </c>
      <c r="G180" s="256">
        <v>0.12</v>
      </c>
      <c r="H180" s="582">
        <v>10</v>
      </c>
      <c r="I180" s="267">
        <f t="shared" si="62"/>
        <v>1.2</v>
      </c>
      <c r="J180" s="257">
        <v>0.46</v>
      </c>
      <c r="K180" s="389">
        <f t="shared" si="61"/>
        <v>0.12</v>
      </c>
      <c r="L180" s="102">
        <f t="shared" si="53"/>
        <v>1.7799999999999998</v>
      </c>
      <c r="M180" s="50">
        <f t="shared" si="54"/>
        <v>48</v>
      </c>
      <c r="N180" s="102">
        <f t="shared" si="55"/>
        <v>480</v>
      </c>
      <c r="O180" s="102">
        <f t="shared" si="56"/>
        <v>184</v>
      </c>
      <c r="P180" s="102">
        <f t="shared" si="57"/>
        <v>48</v>
      </c>
      <c r="Q180" s="103">
        <f t="shared" si="58"/>
        <v>712</v>
      </c>
    </row>
    <row r="181" spans="1:17" s="56" customFormat="1">
      <c r="A181" s="964">
        <f t="shared" si="59"/>
        <v>161</v>
      </c>
      <c r="B181" s="965"/>
      <c r="C181" s="885" t="s">
        <v>685</v>
      </c>
      <c r="D181" s="886" t="s">
        <v>1965</v>
      </c>
      <c r="E181" s="887" t="s">
        <v>136</v>
      </c>
      <c r="F181" s="739">
        <v>1</v>
      </c>
      <c r="G181" s="256">
        <v>11</v>
      </c>
      <c r="H181" s="582">
        <v>10</v>
      </c>
      <c r="I181" s="267">
        <f t="shared" ref="I181:I188" si="63">ROUND(G181*H181,2)</f>
        <v>110</v>
      </c>
      <c r="J181" s="257">
        <v>342</v>
      </c>
      <c r="K181" s="389">
        <f t="shared" ref="K181:K188" si="64">I181*0.1</f>
        <v>11</v>
      </c>
      <c r="L181" s="102">
        <f t="shared" si="53"/>
        <v>463</v>
      </c>
      <c r="M181" s="50">
        <f t="shared" si="54"/>
        <v>11</v>
      </c>
      <c r="N181" s="102">
        <f t="shared" si="55"/>
        <v>110</v>
      </c>
      <c r="O181" s="102">
        <f t="shared" si="56"/>
        <v>342</v>
      </c>
      <c r="P181" s="102">
        <f t="shared" si="57"/>
        <v>11</v>
      </c>
      <c r="Q181" s="103">
        <f t="shared" si="58"/>
        <v>463</v>
      </c>
    </row>
    <row r="182" spans="1:17" s="56" customFormat="1">
      <c r="A182" s="964">
        <f t="shared" si="59"/>
        <v>162</v>
      </c>
      <c r="B182" s="965"/>
      <c r="C182" s="885" t="s">
        <v>686</v>
      </c>
      <c r="D182" s="886" t="s">
        <v>1966</v>
      </c>
      <c r="E182" s="887" t="s">
        <v>136</v>
      </c>
      <c r="F182" s="739">
        <v>1</v>
      </c>
      <c r="G182" s="256">
        <v>12</v>
      </c>
      <c r="H182" s="582">
        <v>10</v>
      </c>
      <c r="I182" s="267">
        <f t="shared" si="63"/>
        <v>120</v>
      </c>
      <c r="J182" s="257">
        <v>410</v>
      </c>
      <c r="K182" s="389">
        <f t="shared" si="64"/>
        <v>12</v>
      </c>
      <c r="L182" s="102">
        <f t="shared" si="53"/>
        <v>542</v>
      </c>
      <c r="M182" s="50">
        <f t="shared" si="54"/>
        <v>12</v>
      </c>
      <c r="N182" s="102">
        <f t="shared" si="55"/>
        <v>120</v>
      </c>
      <c r="O182" s="102">
        <f t="shared" si="56"/>
        <v>410</v>
      </c>
      <c r="P182" s="102">
        <f t="shared" si="57"/>
        <v>12</v>
      </c>
      <c r="Q182" s="103">
        <f t="shared" si="58"/>
        <v>542</v>
      </c>
    </row>
    <row r="183" spans="1:17" s="56" customFormat="1">
      <c r="A183" s="964">
        <f t="shared" si="59"/>
        <v>163</v>
      </c>
      <c r="B183" s="965"/>
      <c r="C183" s="885" t="s">
        <v>687</v>
      </c>
      <c r="D183" s="886" t="s">
        <v>1967</v>
      </c>
      <c r="E183" s="887" t="s">
        <v>688</v>
      </c>
      <c r="F183" s="977">
        <v>20</v>
      </c>
      <c r="G183" s="256">
        <v>0.6</v>
      </c>
      <c r="H183" s="582">
        <v>10</v>
      </c>
      <c r="I183" s="267">
        <f t="shared" si="63"/>
        <v>6</v>
      </c>
      <c r="J183" s="257">
        <v>11.2</v>
      </c>
      <c r="K183" s="389">
        <f t="shared" si="64"/>
        <v>0.60000000000000009</v>
      </c>
      <c r="L183" s="102">
        <f t="shared" si="53"/>
        <v>17.8</v>
      </c>
      <c r="M183" s="50">
        <f t="shared" si="54"/>
        <v>12</v>
      </c>
      <c r="N183" s="102">
        <f t="shared" si="55"/>
        <v>120</v>
      </c>
      <c r="O183" s="102">
        <f t="shared" si="56"/>
        <v>224</v>
      </c>
      <c r="P183" s="102">
        <f t="shared" si="57"/>
        <v>12</v>
      </c>
      <c r="Q183" s="103">
        <f t="shared" si="58"/>
        <v>356</v>
      </c>
    </row>
    <row r="184" spans="1:17" s="56" customFormat="1" ht="24.9">
      <c r="A184" s="964">
        <v>164</v>
      </c>
      <c r="B184" s="965"/>
      <c r="C184" s="885" t="s">
        <v>1687</v>
      </c>
      <c r="D184" s="886" t="s">
        <v>1968</v>
      </c>
      <c r="E184" s="887" t="s">
        <v>118</v>
      </c>
      <c r="F184" s="977">
        <v>4</v>
      </c>
      <c r="G184" s="584">
        <v>0.6</v>
      </c>
      <c r="H184" s="362">
        <v>10</v>
      </c>
      <c r="I184" s="363">
        <f t="shared" si="63"/>
        <v>6</v>
      </c>
      <c r="J184" s="584">
        <v>17.329999999999998</v>
      </c>
      <c r="K184" s="584">
        <v>0.36000000000000004</v>
      </c>
      <c r="L184" s="102">
        <f t="shared" si="53"/>
        <v>23.689999999999998</v>
      </c>
      <c r="M184" s="50">
        <f t="shared" si="54"/>
        <v>2.4</v>
      </c>
      <c r="N184" s="102">
        <f t="shared" si="55"/>
        <v>24</v>
      </c>
      <c r="O184" s="102">
        <f t="shared" si="56"/>
        <v>69.319999999999993</v>
      </c>
      <c r="P184" s="102">
        <f t="shared" si="57"/>
        <v>1.44</v>
      </c>
      <c r="Q184" s="103">
        <f t="shared" si="58"/>
        <v>94.759999999999991</v>
      </c>
    </row>
    <row r="185" spans="1:17" s="56" customFormat="1" ht="24.9">
      <c r="A185" s="964">
        <v>165</v>
      </c>
      <c r="B185" s="965"/>
      <c r="C185" s="885" t="s">
        <v>1688</v>
      </c>
      <c r="D185" s="886" t="s">
        <v>1968</v>
      </c>
      <c r="E185" s="887" t="s">
        <v>118</v>
      </c>
      <c r="F185" s="977">
        <v>8</v>
      </c>
      <c r="G185" s="584">
        <v>0.6</v>
      </c>
      <c r="H185" s="362">
        <v>10</v>
      </c>
      <c r="I185" s="363">
        <f t="shared" si="63"/>
        <v>6</v>
      </c>
      <c r="J185" s="584">
        <v>21.52</v>
      </c>
      <c r="K185" s="584">
        <v>0.36000000000000004</v>
      </c>
      <c r="L185" s="102">
        <f t="shared" si="53"/>
        <v>27.88</v>
      </c>
      <c r="M185" s="50">
        <f t="shared" si="54"/>
        <v>4.8</v>
      </c>
      <c r="N185" s="102">
        <f t="shared" si="55"/>
        <v>48</v>
      </c>
      <c r="O185" s="102">
        <f t="shared" si="56"/>
        <v>172.16</v>
      </c>
      <c r="P185" s="102">
        <f t="shared" si="57"/>
        <v>2.88</v>
      </c>
      <c r="Q185" s="103">
        <f t="shared" si="58"/>
        <v>223.04</v>
      </c>
    </row>
    <row r="186" spans="1:17" s="56" customFormat="1">
      <c r="A186" s="964">
        <v>166</v>
      </c>
      <c r="B186" s="965"/>
      <c r="C186" s="885" t="s">
        <v>689</v>
      </c>
      <c r="D186" s="978" t="s">
        <v>1884</v>
      </c>
      <c r="E186" s="887" t="s">
        <v>118</v>
      </c>
      <c r="F186" s="977">
        <v>24</v>
      </c>
      <c r="G186" s="256">
        <v>1.1000000000000001</v>
      </c>
      <c r="H186" s="582">
        <v>10</v>
      </c>
      <c r="I186" s="267">
        <f t="shared" si="63"/>
        <v>11</v>
      </c>
      <c r="J186" s="257"/>
      <c r="K186" s="389">
        <f t="shared" ref="K186:K188" si="65">I186*0.1</f>
        <v>1.1000000000000001</v>
      </c>
      <c r="L186" s="102">
        <f t="shared" si="53"/>
        <v>12.1</v>
      </c>
      <c r="M186" s="50">
        <f t="shared" si="54"/>
        <v>26.4</v>
      </c>
      <c r="N186" s="102">
        <f t="shared" si="55"/>
        <v>264</v>
      </c>
      <c r="O186" s="102">
        <f t="shared" si="56"/>
        <v>0</v>
      </c>
      <c r="P186" s="102">
        <f t="shared" si="57"/>
        <v>26.4</v>
      </c>
      <c r="Q186" s="103">
        <f t="shared" si="58"/>
        <v>290.39999999999998</v>
      </c>
    </row>
    <row r="187" spans="1:17" s="56" customFormat="1">
      <c r="A187" s="964">
        <f t="shared" ref="A187:A206" si="66">A186+1</f>
        <v>167</v>
      </c>
      <c r="B187" s="965"/>
      <c r="C187" s="885" t="s">
        <v>690</v>
      </c>
      <c r="D187" s="978" t="s">
        <v>1884</v>
      </c>
      <c r="E187" s="887" t="s">
        <v>118</v>
      </c>
      <c r="F187" s="977">
        <v>7</v>
      </c>
      <c r="G187" s="256">
        <v>1.2</v>
      </c>
      <c r="H187" s="582">
        <v>10</v>
      </c>
      <c r="I187" s="267">
        <f t="shared" si="63"/>
        <v>12</v>
      </c>
      <c r="J187" s="257"/>
      <c r="K187" s="389">
        <f t="shared" si="65"/>
        <v>1.2000000000000002</v>
      </c>
      <c r="L187" s="102">
        <f t="shared" si="53"/>
        <v>13.2</v>
      </c>
      <c r="M187" s="50">
        <f t="shared" si="54"/>
        <v>8.4</v>
      </c>
      <c r="N187" s="102">
        <f t="shared" si="55"/>
        <v>84</v>
      </c>
      <c r="O187" s="102">
        <f t="shared" si="56"/>
        <v>0</v>
      </c>
      <c r="P187" s="102">
        <f t="shared" si="57"/>
        <v>8.4</v>
      </c>
      <c r="Q187" s="103">
        <f t="shared" si="58"/>
        <v>92.4</v>
      </c>
    </row>
    <row r="188" spans="1:17" s="56" customFormat="1">
      <c r="A188" s="964">
        <f t="shared" si="66"/>
        <v>168</v>
      </c>
      <c r="B188" s="965"/>
      <c r="C188" s="885" t="s">
        <v>691</v>
      </c>
      <c r="D188" s="978" t="s">
        <v>1884</v>
      </c>
      <c r="E188" s="977" t="s">
        <v>136</v>
      </c>
      <c r="F188" s="977">
        <v>1</v>
      </c>
      <c r="G188" s="256"/>
      <c r="H188" s="582"/>
      <c r="I188" s="267"/>
      <c r="J188" s="257">
        <v>1002</v>
      </c>
      <c r="K188" s="389">
        <f t="shared" si="65"/>
        <v>0</v>
      </c>
      <c r="L188" s="102">
        <f t="shared" si="53"/>
        <v>1002</v>
      </c>
      <c r="M188" s="50">
        <f t="shared" si="54"/>
        <v>0</v>
      </c>
      <c r="N188" s="102">
        <f t="shared" si="55"/>
        <v>0</v>
      </c>
      <c r="O188" s="102">
        <f t="shared" si="56"/>
        <v>1002</v>
      </c>
      <c r="P188" s="102">
        <f t="shared" si="57"/>
        <v>0</v>
      </c>
      <c r="Q188" s="103">
        <f t="shared" si="58"/>
        <v>1002</v>
      </c>
    </row>
    <row r="189" spans="1:17" s="56" customFormat="1">
      <c r="A189" s="964"/>
      <c r="B189" s="965"/>
      <c r="C189" s="979" t="s">
        <v>692</v>
      </c>
      <c r="D189" s="886" t="s">
        <v>1884</v>
      </c>
      <c r="E189" s="977"/>
      <c r="F189" s="739"/>
      <c r="G189" s="256"/>
      <c r="H189" s="582"/>
      <c r="I189" s="267"/>
      <c r="J189" s="257"/>
      <c r="K189" s="389">
        <f t="shared" ref="K189:K211" si="67">I189*0.1</f>
        <v>0</v>
      </c>
      <c r="L189" s="102">
        <f t="shared" si="53"/>
        <v>0</v>
      </c>
      <c r="M189" s="50">
        <f t="shared" si="54"/>
        <v>0</v>
      </c>
      <c r="N189" s="102">
        <f t="shared" si="55"/>
        <v>0</v>
      </c>
      <c r="O189" s="102">
        <f t="shared" si="56"/>
        <v>0</v>
      </c>
      <c r="P189" s="102">
        <f t="shared" si="57"/>
        <v>0</v>
      </c>
      <c r="Q189" s="103">
        <f t="shared" si="58"/>
        <v>0</v>
      </c>
    </row>
    <row r="190" spans="1:17" s="56" customFormat="1" ht="24.9">
      <c r="A190" s="964">
        <v>169</v>
      </c>
      <c r="B190" s="965"/>
      <c r="C190" s="885" t="s">
        <v>1689</v>
      </c>
      <c r="D190" s="739" t="s">
        <v>1969</v>
      </c>
      <c r="E190" s="887" t="s">
        <v>118</v>
      </c>
      <c r="F190" s="739">
        <v>7</v>
      </c>
      <c r="G190" s="256">
        <v>1.8</v>
      </c>
      <c r="H190" s="582">
        <v>10</v>
      </c>
      <c r="I190" s="267">
        <f t="shared" ref="I190:I211" si="68">ROUND(G190*H190,2)</f>
        <v>18</v>
      </c>
      <c r="J190" s="257">
        <v>23</v>
      </c>
      <c r="K190" s="389">
        <f t="shared" si="67"/>
        <v>1.8</v>
      </c>
      <c r="L190" s="102">
        <f t="shared" si="53"/>
        <v>42.8</v>
      </c>
      <c r="M190" s="50">
        <f t="shared" si="54"/>
        <v>12.6</v>
      </c>
      <c r="N190" s="102">
        <f t="shared" si="55"/>
        <v>126</v>
      </c>
      <c r="O190" s="102">
        <f t="shared" si="56"/>
        <v>161</v>
      </c>
      <c r="P190" s="102">
        <f t="shared" si="57"/>
        <v>12.6</v>
      </c>
      <c r="Q190" s="103">
        <f t="shared" si="58"/>
        <v>299.60000000000002</v>
      </c>
    </row>
    <row r="191" spans="1:17" s="56" customFormat="1" ht="24.9">
      <c r="A191" s="964">
        <v>170</v>
      </c>
      <c r="B191" s="965"/>
      <c r="C191" s="885" t="s">
        <v>695</v>
      </c>
      <c r="D191" s="739" t="s">
        <v>1962</v>
      </c>
      <c r="E191" s="887" t="s">
        <v>111</v>
      </c>
      <c r="F191" s="739">
        <v>1600</v>
      </c>
      <c r="G191" s="256">
        <v>0.12</v>
      </c>
      <c r="H191" s="582">
        <v>10</v>
      </c>
      <c r="I191" s="267">
        <f t="shared" si="68"/>
        <v>1.2</v>
      </c>
      <c r="J191" s="257">
        <v>0.8</v>
      </c>
      <c r="K191" s="389">
        <f t="shared" si="67"/>
        <v>0.12</v>
      </c>
      <c r="L191" s="102">
        <f t="shared" si="53"/>
        <v>2.12</v>
      </c>
      <c r="M191" s="50">
        <f t="shared" si="54"/>
        <v>192</v>
      </c>
      <c r="N191" s="102">
        <f t="shared" si="55"/>
        <v>1920</v>
      </c>
      <c r="O191" s="102">
        <f t="shared" si="56"/>
        <v>1280</v>
      </c>
      <c r="P191" s="102">
        <f t="shared" si="57"/>
        <v>192</v>
      </c>
      <c r="Q191" s="103">
        <f t="shared" si="58"/>
        <v>3392</v>
      </c>
    </row>
    <row r="192" spans="1:17" s="56" customFormat="1" ht="37.35">
      <c r="A192" s="964">
        <f t="shared" si="66"/>
        <v>171</v>
      </c>
      <c r="B192" s="965"/>
      <c r="C192" s="885" t="s">
        <v>696</v>
      </c>
      <c r="D192" s="739" t="s">
        <v>1962</v>
      </c>
      <c r="E192" s="887" t="s">
        <v>111</v>
      </c>
      <c r="F192" s="739">
        <v>500</v>
      </c>
      <c r="G192" s="256">
        <v>0.12</v>
      </c>
      <c r="H192" s="582">
        <v>10</v>
      </c>
      <c r="I192" s="267">
        <f t="shared" si="68"/>
        <v>1.2</v>
      </c>
      <c r="J192" s="257">
        <v>0.85</v>
      </c>
      <c r="K192" s="389">
        <f t="shared" si="67"/>
        <v>0.12</v>
      </c>
      <c r="L192" s="102">
        <f t="shared" si="53"/>
        <v>2.17</v>
      </c>
      <c r="M192" s="50">
        <f t="shared" si="54"/>
        <v>60</v>
      </c>
      <c r="N192" s="102">
        <f t="shared" si="55"/>
        <v>600</v>
      </c>
      <c r="O192" s="102">
        <f t="shared" si="56"/>
        <v>425</v>
      </c>
      <c r="P192" s="102">
        <f t="shared" si="57"/>
        <v>60</v>
      </c>
      <c r="Q192" s="103">
        <f t="shared" si="58"/>
        <v>1085</v>
      </c>
    </row>
    <row r="193" spans="1:17" s="56" customFormat="1">
      <c r="A193" s="964">
        <f t="shared" si="66"/>
        <v>172</v>
      </c>
      <c r="B193" s="965"/>
      <c r="C193" s="885" t="s">
        <v>697</v>
      </c>
      <c r="D193" s="739" t="s">
        <v>1962</v>
      </c>
      <c r="E193" s="887" t="s">
        <v>118</v>
      </c>
      <c r="F193" s="739">
        <v>21</v>
      </c>
      <c r="G193" s="256">
        <v>0.6</v>
      </c>
      <c r="H193" s="582">
        <v>10</v>
      </c>
      <c r="I193" s="267">
        <f t="shared" si="68"/>
        <v>6</v>
      </c>
      <c r="J193" s="257">
        <v>5.21</v>
      </c>
      <c r="K193" s="389">
        <f t="shared" si="67"/>
        <v>0.60000000000000009</v>
      </c>
      <c r="L193" s="102">
        <f t="shared" si="53"/>
        <v>11.81</v>
      </c>
      <c r="M193" s="50">
        <f t="shared" si="54"/>
        <v>12.6</v>
      </c>
      <c r="N193" s="102">
        <f t="shared" si="55"/>
        <v>126</v>
      </c>
      <c r="O193" s="102">
        <f t="shared" si="56"/>
        <v>109.41</v>
      </c>
      <c r="P193" s="102">
        <f t="shared" si="57"/>
        <v>12.6</v>
      </c>
      <c r="Q193" s="103">
        <f t="shared" si="58"/>
        <v>248.01</v>
      </c>
    </row>
    <row r="194" spans="1:17" s="56" customFormat="1" ht="24.9">
      <c r="A194" s="964">
        <f t="shared" si="66"/>
        <v>173</v>
      </c>
      <c r="B194" s="965"/>
      <c r="C194" s="885" t="s">
        <v>698</v>
      </c>
      <c r="D194" s="739" t="s">
        <v>1970</v>
      </c>
      <c r="E194" s="887" t="s">
        <v>118</v>
      </c>
      <c r="F194" s="739">
        <v>6</v>
      </c>
      <c r="G194" s="256">
        <v>1.8</v>
      </c>
      <c r="H194" s="582">
        <v>10</v>
      </c>
      <c r="I194" s="267">
        <f t="shared" si="68"/>
        <v>18</v>
      </c>
      <c r="J194" s="257">
        <v>8</v>
      </c>
      <c r="K194" s="389">
        <f t="shared" si="67"/>
        <v>1.8</v>
      </c>
      <c r="L194" s="102">
        <f t="shared" si="53"/>
        <v>27.8</v>
      </c>
      <c r="M194" s="50">
        <f t="shared" si="54"/>
        <v>10.8</v>
      </c>
      <c r="N194" s="102">
        <f t="shared" si="55"/>
        <v>108</v>
      </c>
      <c r="O194" s="102">
        <f t="shared" si="56"/>
        <v>48</v>
      </c>
      <c r="P194" s="102">
        <f t="shared" si="57"/>
        <v>10.8</v>
      </c>
      <c r="Q194" s="103">
        <f t="shared" si="58"/>
        <v>166.8</v>
      </c>
    </row>
    <row r="195" spans="1:17" s="56" customFormat="1">
      <c r="A195" s="964">
        <v>174</v>
      </c>
      <c r="B195" s="965"/>
      <c r="C195" s="885" t="s">
        <v>701</v>
      </c>
      <c r="D195" s="739" t="s">
        <v>1962</v>
      </c>
      <c r="E195" s="887" t="s">
        <v>118</v>
      </c>
      <c r="F195" s="739">
        <v>51</v>
      </c>
      <c r="G195" s="256">
        <v>0.6</v>
      </c>
      <c r="H195" s="582">
        <v>10</v>
      </c>
      <c r="I195" s="267">
        <f t="shared" si="68"/>
        <v>6</v>
      </c>
      <c r="J195" s="257">
        <v>2.08</v>
      </c>
      <c r="K195" s="389">
        <f t="shared" si="67"/>
        <v>0.60000000000000009</v>
      </c>
      <c r="L195" s="102">
        <f t="shared" si="53"/>
        <v>8.68</v>
      </c>
      <c r="M195" s="50">
        <f t="shared" si="54"/>
        <v>30.6</v>
      </c>
      <c r="N195" s="102">
        <f t="shared" si="55"/>
        <v>306</v>
      </c>
      <c r="O195" s="102">
        <f t="shared" si="56"/>
        <v>106.08</v>
      </c>
      <c r="P195" s="102">
        <f t="shared" si="57"/>
        <v>30.6</v>
      </c>
      <c r="Q195" s="103">
        <f t="shared" si="58"/>
        <v>442.68</v>
      </c>
    </row>
    <row r="196" spans="1:17" s="56" customFormat="1">
      <c r="A196" s="964">
        <f t="shared" si="66"/>
        <v>175</v>
      </c>
      <c r="B196" s="965"/>
      <c r="C196" s="885" t="s">
        <v>702</v>
      </c>
      <c r="D196" s="980" t="s">
        <v>1971</v>
      </c>
      <c r="E196" s="887" t="s">
        <v>118</v>
      </c>
      <c r="F196" s="739">
        <v>10</v>
      </c>
      <c r="G196" s="256">
        <v>0.9</v>
      </c>
      <c r="H196" s="582">
        <v>10</v>
      </c>
      <c r="I196" s="267">
        <f t="shared" si="68"/>
        <v>9</v>
      </c>
      <c r="J196" s="257">
        <v>3.6</v>
      </c>
      <c r="K196" s="389">
        <f t="shared" si="67"/>
        <v>0.9</v>
      </c>
      <c r="L196" s="102">
        <f t="shared" si="53"/>
        <v>13.5</v>
      </c>
      <c r="M196" s="50">
        <f t="shared" si="54"/>
        <v>9</v>
      </c>
      <c r="N196" s="102">
        <f t="shared" si="55"/>
        <v>90</v>
      </c>
      <c r="O196" s="102">
        <f t="shared" si="56"/>
        <v>36</v>
      </c>
      <c r="P196" s="102">
        <f t="shared" si="57"/>
        <v>9</v>
      </c>
      <c r="Q196" s="103">
        <f t="shared" si="58"/>
        <v>135</v>
      </c>
    </row>
    <row r="197" spans="1:17" s="56" customFormat="1">
      <c r="A197" s="964">
        <f t="shared" si="66"/>
        <v>176</v>
      </c>
      <c r="B197" s="965"/>
      <c r="C197" s="885" t="s">
        <v>703</v>
      </c>
      <c r="D197" s="980" t="s">
        <v>1962</v>
      </c>
      <c r="E197" s="887" t="s">
        <v>118</v>
      </c>
      <c r="F197" s="739">
        <v>21</v>
      </c>
      <c r="G197" s="256">
        <v>0.6</v>
      </c>
      <c r="H197" s="582">
        <v>10</v>
      </c>
      <c r="I197" s="267">
        <f t="shared" si="68"/>
        <v>6</v>
      </c>
      <c r="J197" s="257">
        <v>2.08</v>
      </c>
      <c r="K197" s="389">
        <f t="shared" si="67"/>
        <v>0.60000000000000009</v>
      </c>
      <c r="L197" s="102">
        <f t="shared" si="53"/>
        <v>8.68</v>
      </c>
      <c r="M197" s="50">
        <f t="shared" si="54"/>
        <v>12.6</v>
      </c>
      <c r="N197" s="102">
        <f t="shared" si="55"/>
        <v>126</v>
      </c>
      <c r="O197" s="102">
        <f t="shared" si="56"/>
        <v>43.68</v>
      </c>
      <c r="P197" s="102">
        <f t="shared" si="57"/>
        <v>12.6</v>
      </c>
      <c r="Q197" s="103">
        <f t="shared" si="58"/>
        <v>182.28</v>
      </c>
    </row>
    <row r="198" spans="1:17" s="56" customFormat="1">
      <c r="A198" s="964">
        <f t="shared" si="66"/>
        <v>177</v>
      </c>
      <c r="B198" s="965"/>
      <c r="C198" s="885" t="s">
        <v>704</v>
      </c>
      <c r="D198" s="980" t="s">
        <v>1962</v>
      </c>
      <c r="E198" s="887" t="s">
        <v>118</v>
      </c>
      <c r="F198" s="739">
        <v>6</v>
      </c>
      <c r="G198" s="256">
        <v>0.6</v>
      </c>
      <c r="H198" s="582">
        <v>10</v>
      </c>
      <c r="I198" s="267">
        <f t="shared" si="68"/>
        <v>6</v>
      </c>
      <c r="J198" s="257">
        <v>2.08</v>
      </c>
      <c r="K198" s="389">
        <f t="shared" si="67"/>
        <v>0.60000000000000009</v>
      </c>
      <c r="L198" s="102">
        <f t="shared" ref="L198:L211" si="69">SUM(I198:K198)</f>
        <v>8.68</v>
      </c>
      <c r="M198" s="50">
        <f t="shared" ref="M198:M211" si="70">ROUND(G198*F198,2)</f>
        <v>3.6</v>
      </c>
      <c r="N198" s="102">
        <f t="shared" ref="N198:N211" si="71">ROUND(I198*F198,2)</f>
        <v>36</v>
      </c>
      <c r="O198" s="102">
        <f t="shared" ref="O198:O211" si="72">ROUND(J198*F198,2)</f>
        <v>12.48</v>
      </c>
      <c r="P198" s="102">
        <f t="shared" ref="P198:P211" si="73">ROUND(K198*F198,2)</f>
        <v>3.6</v>
      </c>
      <c r="Q198" s="103">
        <f t="shared" ref="Q198:Q211" si="74">SUM(N198:P198)</f>
        <v>52.080000000000005</v>
      </c>
    </row>
    <row r="199" spans="1:17" s="56" customFormat="1">
      <c r="A199" s="964">
        <f t="shared" si="66"/>
        <v>178</v>
      </c>
      <c r="B199" s="965"/>
      <c r="C199" s="885" t="s">
        <v>705</v>
      </c>
      <c r="D199" s="980" t="s">
        <v>1962</v>
      </c>
      <c r="E199" s="977" t="s">
        <v>118</v>
      </c>
      <c r="F199" s="739">
        <v>8</v>
      </c>
      <c r="G199" s="256">
        <v>0.6</v>
      </c>
      <c r="H199" s="582">
        <v>10</v>
      </c>
      <c r="I199" s="267">
        <f t="shared" si="68"/>
        <v>6</v>
      </c>
      <c r="J199" s="257">
        <v>3.74</v>
      </c>
      <c r="K199" s="389">
        <f t="shared" si="67"/>
        <v>0.60000000000000009</v>
      </c>
      <c r="L199" s="102">
        <f t="shared" si="69"/>
        <v>10.34</v>
      </c>
      <c r="M199" s="50">
        <f t="shared" si="70"/>
        <v>4.8</v>
      </c>
      <c r="N199" s="102">
        <f t="shared" si="71"/>
        <v>48</v>
      </c>
      <c r="O199" s="102">
        <f t="shared" si="72"/>
        <v>29.92</v>
      </c>
      <c r="P199" s="102">
        <f t="shared" si="73"/>
        <v>4.8</v>
      </c>
      <c r="Q199" s="103">
        <f t="shared" si="74"/>
        <v>82.72</v>
      </c>
    </row>
    <row r="200" spans="1:17" s="56" customFormat="1">
      <c r="A200" s="964">
        <f t="shared" si="66"/>
        <v>179</v>
      </c>
      <c r="B200" s="965"/>
      <c r="C200" s="885" t="s">
        <v>706</v>
      </c>
      <c r="D200" s="980" t="s">
        <v>1962</v>
      </c>
      <c r="E200" s="977" t="s">
        <v>118</v>
      </c>
      <c r="F200" s="739">
        <v>4</v>
      </c>
      <c r="G200" s="256">
        <v>0.6</v>
      </c>
      <c r="H200" s="582">
        <v>10</v>
      </c>
      <c r="I200" s="267">
        <f t="shared" si="68"/>
        <v>6</v>
      </c>
      <c r="J200" s="257">
        <v>3.74</v>
      </c>
      <c r="K200" s="389">
        <f t="shared" si="67"/>
        <v>0.60000000000000009</v>
      </c>
      <c r="L200" s="102">
        <f t="shared" si="69"/>
        <v>10.34</v>
      </c>
      <c r="M200" s="50">
        <f t="shared" si="70"/>
        <v>2.4</v>
      </c>
      <c r="N200" s="102">
        <f t="shared" si="71"/>
        <v>24</v>
      </c>
      <c r="O200" s="102">
        <f t="shared" si="72"/>
        <v>14.96</v>
      </c>
      <c r="P200" s="102">
        <f t="shared" si="73"/>
        <v>2.4</v>
      </c>
      <c r="Q200" s="103">
        <f t="shared" si="74"/>
        <v>41.36</v>
      </c>
    </row>
    <row r="201" spans="1:17" s="56" customFormat="1">
      <c r="A201" s="964">
        <f t="shared" si="66"/>
        <v>180</v>
      </c>
      <c r="B201" s="965"/>
      <c r="C201" s="885" t="s">
        <v>707</v>
      </c>
      <c r="D201" s="980" t="s">
        <v>1962</v>
      </c>
      <c r="E201" s="977" t="s">
        <v>118</v>
      </c>
      <c r="F201" s="739">
        <v>2</v>
      </c>
      <c r="G201" s="256">
        <v>0.2</v>
      </c>
      <c r="H201" s="582">
        <v>10</v>
      </c>
      <c r="I201" s="267">
        <f t="shared" si="68"/>
        <v>2</v>
      </c>
      <c r="J201" s="257">
        <v>30.7</v>
      </c>
      <c r="K201" s="389">
        <f t="shared" si="67"/>
        <v>0.2</v>
      </c>
      <c r="L201" s="102">
        <f t="shared" si="69"/>
        <v>32.900000000000006</v>
      </c>
      <c r="M201" s="50">
        <f t="shared" si="70"/>
        <v>0.4</v>
      </c>
      <c r="N201" s="102">
        <f t="shared" si="71"/>
        <v>4</v>
      </c>
      <c r="O201" s="102">
        <f t="shared" si="72"/>
        <v>61.4</v>
      </c>
      <c r="P201" s="102">
        <f t="shared" si="73"/>
        <v>0.4</v>
      </c>
      <c r="Q201" s="103">
        <f t="shared" si="74"/>
        <v>65.800000000000011</v>
      </c>
    </row>
    <row r="202" spans="1:17" s="56" customFormat="1">
      <c r="A202" s="964">
        <f t="shared" si="66"/>
        <v>181</v>
      </c>
      <c r="B202" s="965"/>
      <c r="C202" s="885" t="s">
        <v>708</v>
      </c>
      <c r="D202" s="980" t="s">
        <v>1972</v>
      </c>
      <c r="E202" s="977" t="s">
        <v>136</v>
      </c>
      <c r="F202" s="739">
        <v>2</v>
      </c>
      <c r="G202" s="256">
        <v>1.4</v>
      </c>
      <c r="H202" s="582">
        <v>10</v>
      </c>
      <c r="I202" s="267">
        <f t="shared" si="68"/>
        <v>14</v>
      </c>
      <c r="J202" s="257">
        <v>156</v>
      </c>
      <c r="K202" s="389">
        <f t="shared" si="67"/>
        <v>1.4000000000000001</v>
      </c>
      <c r="L202" s="102">
        <f t="shared" si="69"/>
        <v>171.4</v>
      </c>
      <c r="M202" s="50">
        <f t="shared" si="70"/>
        <v>2.8</v>
      </c>
      <c r="N202" s="102">
        <f t="shared" si="71"/>
        <v>28</v>
      </c>
      <c r="O202" s="102">
        <f t="shared" si="72"/>
        <v>312</v>
      </c>
      <c r="P202" s="102">
        <f t="shared" si="73"/>
        <v>2.8</v>
      </c>
      <c r="Q202" s="103">
        <f t="shared" si="74"/>
        <v>342.8</v>
      </c>
    </row>
    <row r="203" spans="1:17" s="56" customFormat="1">
      <c r="A203" s="964">
        <f t="shared" si="66"/>
        <v>182</v>
      </c>
      <c r="B203" s="965"/>
      <c r="C203" s="885" t="s">
        <v>709</v>
      </c>
      <c r="D203" s="980" t="s">
        <v>1973</v>
      </c>
      <c r="E203" s="977" t="s">
        <v>136</v>
      </c>
      <c r="F203" s="739">
        <v>21</v>
      </c>
      <c r="G203" s="256">
        <v>1.4</v>
      </c>
      <c r="H203" s="582">
        <v>10</v>
      </c>
      <c r="I203" s="267">
        <f t="shared" si="68"/>
        <v>14</v>
      </c>
      <c r="J203" s="257">
        <v>90</v>
      </c>
      <c r="K203" s="389">
        <f t="shared" si="67"/>
        <v>1.4000000000000001</v>
      </c>
      <c r="L203" s="102">
        <f t="shared" si="69"/>
        <v>105.4</v>
      </c>
      <c r="M203" s="50">
        <f t="shared" si="70"/>
        <v>29.4</v>
      </c>
      <c r="N203" s="102">
        <f t="shared" si="71"/>
        <v>294</v>
      </c>
      <c r="O203" s="102">
        <f t="shared" si="72"/>
        <v>1890</v>
      </c>
      <c r="P203" s="102">
        <f t="shared" si="73"/>
        <v>29.4</v>
      </c>
      <c r="Q203" s="103">
        <f t="shared" si="74"/>
        <v>2213.4</v>
      </c>
    </row>
    <row r="204" spans="1:17" s="56" customFormat="1">
      <c r="A204" s="964">
        <f t="shared" si="66"/>
        <v>183</v>
      </c>
      <c r="B204" s="965"/>
      <c r="C204" s="885" t="s">
        <v>710</v>
      </c>
      <c r="D204" s="886" t="s">
        <v>1930</v>
      </c>
      <c r="E204" s="887" t="s">
        <v>111</v>
      </c>
      <c r="F204" s="739">
        <v>20</v>
      </c>
      <c r="G204" s="256">
        <v>0.08</v>
      </c>
      <c r="H204" s="582">
        <v>10</v>
      </c>
      <c r="I204" s="267">
        <f t="shared" si="68"/>
        <v>0.8</v>
      </c>
      <c r="J204" s="257">
        <v>3.83</v>
      </c>
      <c r="K204" s="389">
        <f t="shared" si="67"/>
        <v>8.0000000000000016E-2</v>
      </c>
      <c r="L204" s="102">
        <f t="shared" si="69"/>
        <v>4.71</v>
      </c>
      <c r="M204" s="50">
        <f t="shared" si="70"/>
        <v>1.6</v>
      </c>
      <c r="N204" s="102">
        <f t="shared" si="71"/>
        <v>16</v>
      </c>
      <c r="O204" s="102">
        <f t="shared" si="72"/>
        <v>76.599999999999994</v>
      </c>
      <c r="P204" s="102">
        <f t="shared" si="73"/>
        <v>1.6</v>
      </c>
      <c r="Q204" s="103">
        <f t="shared" si="74"/>
        <v>94.199999999999989</v>
      </c>
    </row>
    <row r="205" spans="1:17" s="56" customFormat="1">
      <c r="A205" s="964">
        <f t="shared" si="66"/>
        <v>184</v>
      </c>
      <c r="B205" s="965"/>
      <c r="C205" s="885" t="s">
        <v>711</v>
      </c>
      <c r="D205" s="886" t="s">
        <v>1930</v>
      </c>
      <c r="E205" s="977" t="s">
        <v>111</v>
      </c>
      <c r="F205" s="739">
        <v>50</v>
      </c>
      <c r="G205" s="256">
        <v>0.08</v>
      </c>
      <c r="H205" s="582">
        <v>10</v>
      </c>
      <c r="I205" s="267">
        <f t="shared" si="68"/>
        <v>0.8</v>
      </c>
      <c r="J205" s="257">
        <v>1.1299999999999999</v>
      </c>
      <c r="K205" s="389">
        <f t="shared" si="67"/>
        <v>8.0000000000000016E-2</v>
      </c>
      <c r="L205" s="102">
        <f t="shared" si="69"/>
        <v>2.0099999999999998</v>
      </c>
      <c r="M205" s="50">
        <f t="shared" si="70"/>
        <v>4</v>
      </c>
      <c r="N205" s="102">
        <f t="shared" si="71"/>
        <v>40</v>
      </c>
      <c r="O205" s="102">
        <f t="shared" si="72"/>
        <v>56.5</v>
      </c>
      <c r="P205" s="102">
        <f t="shared" si="73"/>
        <v>4</v>
      </c>
      <c r="Q205" s="103">
        <f t="shared" si="74"/>
        <v>100.5</v>
      </c>
    </row>
    <row r="206" spans="1:17" s="56" customFormat="1">
      <c r="A206" s="964">
        <f t="shared" si="66"/>
        <v>185</v>
      </c>
      <c r="B206" s="965"/>
      <c r="C206" s="885" t="s">
        <v>712</v>
      </c>
      <c r="D206" s="886" t="s">
        <v>1930</v>
      </c>
      <c r="E206" s="887" t="s">
        <v>111</v>
      </c>
      <c r="F206" s="739">
        <v>500</v>
      </c>
      <c r="G206" s="256">
        <v>0.08</v>
      </c>
      <c r="H206" s="582">
        <v>10</v>
      </c>
      <c r="I206" s="267">
        <f t="shared" si="68"/>
        <v>0.8</v>
      </c>
      <c r="J206" s="257">
        <v>0.9</v>
      </c>
      <c r="K206" s="389">
        <f t="shared" si="67"/>
        <v>8.0000000000000016E-2</v>
      </c>
      <c r="L206" s="102">
        <f t="shared" si="69"/>
        <v>1.7800000000000002</v>
      </c>
      <c r="M206" s="50">
        <f t="shared" si="70"/>
        <v>40</v>
      </c>
      <c r="N206" s="102">
        <f t="shared" si="71"/>
        <v>400</v>
      </c>
      <c r="O206" s="102">
        <f t="shared" si="72"/>
        <v>450</v>
      </c>
      <c r="P206" s="102">
        <f t="shared" si="73"/>
        <v>40</v>
      </c>
      <c r="Q206" s="103">
        <f t="shared" si="74"/>
        <v>890</v>
      </c>
    </row>
    <row r="207" spans="1:17" s="56" customFormat="1">
      <c r="A207" s="964">
        <v>186</v>
      </c>
      <c r="B207" s="965"/>
      <c r="C207" s="885" t="s">
        <v>713</v>
      </c>
      <c r="D207" s="886" t="s">
        <v>1930</v>
      </c>
      <c r="E207" s="977" t="s">
        <v>111</v>
      </c>
      <c r="F207" s="739">
        <v>800</v>
      </c>
      <c r="G207" s="257">
        <v>0.08</v>
      </c>
      <c r="H207" s="582">
        <v>10</v>
      </c>
      <c r="I207" s="267">
        <f t="shared" si="68"/>
        <v>0.8</v>
      </c>
      <c r="J207" s="257">
        <v>0.9</v>
      </c>
      <c r="K207" s="389">
        <f t="shared" si="67"/>
        <v>8.0000000000000016E-2</v>
      </c>
      <c r="L207" s="102">
        <f t="shared" si="69"/>
        <v>1.7800000000000002</v>
      </c>
      <c r="M207" s="50">
        <f t="shared" si="70"/>
        <v>64</v>
      </c>
      <c r="N207" s="102">
        <f t="shared" si="71"/>
        <v>640</v>
      </c>
      <c r="O207" s="102">
        <f t="shared" si="72"/>
        <v>720</v>
      </c>
      <c r="P207" s="102">
        <f t="shared" si="73"/>
        <v>64</v>
      </c>
      <c r="Q207" s="103">
        <f t="shared" si="74"/>
        <v>1424</v>
      </c>
    </row>
    <row r="208" spans="1:17" s="56" customFormat="1">
      <c r="A208" s="964">
        <v>187</v>
      </c>
      <c r="B208" s="965"/>
      <c r="C208" s="885" t="s">
        <v>714</v>
      </c>
      <c r="D208" s="886" t="s">
        <v>1930</v>
      </c>
      <c r="E208" s="977" t="s">
        <v>111</v>
      </c>
      <c r="F208" s="739">
        <v>2300</v>
      </c>
      <c r="G208" s="257">
        <v>0.08</v>
      </c>
      <c r="H208" s="582">
        <v>10</v>
      </c>
      <c r="I208" s="267">
        <f t="shared" si="68"/>
        <v>0.8</v>
      </c>
      <c r="J208" s="257">
        <v>0.6</v>
      </c>
      <c r="K208" s="389">
        <f t="shared" si="67"/>
        <v>8.0000000000000016E-2</v>
      </c>
      <c r="L208" s="102">
        <f t="shared" si="69"/>
        <v>1.48</v>
      </c>
      <c r="M208" s="50">
        <f t="shared" si="70"/>
        <v>184</v>
      </c>
      <c r="N208" s="102">
        <f t="shared" si="71"/>
        <v>1840</v>
      </c>
      <c r="O208" s="102">
        <f t="shared" si="72"/>
        <v>1380</v>
      </c>
      <c r="P208" s="102">
        <f t="shared" si="73"/>
        <v>184</v>
      </c>
      <c r="Q208" s="103">
        <f t="shared" si="74"/>
        <v>3404</v>
      </c>
    </row>
    <row r="209" spans="1:17" s="56" customFormat="1">
      <c r="A209" s="964">
        <f>A208+1</f>
        <v>188</v>
      </c>
      <c r="B209" s="965"/>
      <c r="C209" s="885" t="s">
        <v>715</v>
      </c>
      <c r="D209" s="980" t="s">
        <v>1962</v>
      </c>
      <c r="E209" s="887" t="s">
        <v>118</v>
      </c>
      <c r="F209" s="739">
        <v>2</v>
      </c>
      <c r="G209" s="257">
        <v>1.5</v>
      </c>
      <c r="H209" s="582">
        <v>10</v>
      </c>
      <c r="I209" s="267">
        <f t="shared" si="68"/>
        <v>15</v>
      </c>
      <c r="J209" s="257">
        <v>24.83</v>
      </c>
      <c r="K209" s="389">
        <f t="shared" si="67"/>
        <v>1.5</v>
      </c>
      <c r="L209" s="102">
        <f t="shared" si="69"/>
        <v>41.33</v>
      </c>
      <c r="M209" s="50">
        <f t="shared" si="70"/>
        <v>3</v>
      </c>
      <c r="N209" s="102">
        <f t="shared" si="71"/>
        <v>30</v>
      </c>
      <c r="O209" s="102">
        <f t="shared" si="72"/>
        <v>49.66</v>
      </c>
      <c r="P209" s="102">
        <f t="shared" si="73"/>
        <v>3</v>
      </c>
      <c r="Q209" s="103">
        <f t="shared" si="74"/>
        <v>82.66</v>
      </c>
    </row>
    <row r="210" spans="1:17" s="56" customFormat="1">
      <c r="A210" s="964">
        <f t="shared" ref="A210:A211" si="75">A209+1</f>
        <v>189</v>
      </c>
      <c r="B210" s="965"/>
      <c r="C210" s="885" t="s">
        <v>716</v>
      </c>
      <c r="D210" s="886" t="s">
        <v>1884</v>
      </c>
      <c r="E210" s="887" t="s">
        <v>111</v>
      </c>
      <c r="F210" s="739">
        <v>80</v>
      </c>
      <c r="G210" s="257">
        <v>0.12</v>
      </c>
      <c r="H210" s="582">
        <v>10</v>
      </c>
      <c r="I210" s="267">
        <f t="shared" si="68"/>
        <v>1.2</v>
      </c>
      <c r="J210" s="257">
        <v>3.29</v>
      </c>
      <c r="K210" s="389">
        <f t="shared" si="67"/>
        <v>0.12</v>
      </c>
      <c r="L210" s="102">
        <f t="shared" si="69"/>
        <v>4.6100000000000003</v>
      </c>
      <c r="M210" s="50">
        <f t="shared" si="70"/>
        <v>9.6</v>
      </c>
      <c r="N210" s="102">
        <f t="shared" si="71"/>
        <v>96</v>
      </c>
      <c r="O210" s="102">
        <f t="shared" si="72"/>
        <v>263.2</v>
      </c>
      <c r="P210" s="102">
        <f t="shared" si="73"/>
        <v>9.6</v>
      </c>
      <c r="Q210" s="103">
        <f t="shared" si="74"/>
        <v>368.8</v>
      </c>
    </row>
    <row r="211" spans="1:17" s="56" customFormat="1">
      <c r="A211" s="964">
        <f t="shared" si="75"/>
        <v>190</v>
      </c>
      <c r="B211" s="965"/>
      <c r="C211" s="885" t="s">
        <v>717</v>
      </c>
      <c r="D211" s="976" t="s">
        <v>1884</v>
      </c>
      <c r="E211" s="887" t="s">
        <v>136</v>
      </c>
      <c r="F211" s="977">
        <v>1</v>
      </c>
      <c r="G211" s="257"/>
      <c r="H211" s="582">
        <v>10</v>
      </c>
      <c r="I211" s="267">
        <f t="shared" si="68"/>
        <v>0</v>
      </c>
      <c r="J211" s="257">
        <v>1170</v>
      </c>
      <c r="K211" s="389">
        <f t="shared" si="67"/>
        <v>0</v>
      </c>
      <c r="L211" s="102">
        <f t="shared" si="69"/>
        <v>1170</v>
      </c>
      <c r="M211" s="50">
        <f t="shared" si="70"/>
        <v>0</v>
      </c>
      <c r="N211" s="102">
        <f t="shared" si="71"/>
        <v>0</v>
      </c>
      <c r="O211" s="102">
        <f t="shared" si="72"/>
        <v>1170</v>
      </c>
      <c r="P211" s="102">
        <f t="shared" si="73"/>
        <v>0</v>
      </c>
      <c r="Q211" s="103">
        <f t="shared" si="74"/>
        <v>1170</v>
      </c>
    </row>
    <row r="212" spans="1:17">
      <c r="A212" s="225"/>
      <c r="B212" s="226"/>
      <c r="C212" s="227"/>
      <c r="D212" s="227"/>
      <c r="E212" s="228"/>
      <c r="F212" s="229"/>
      <c r="G212" s="230">
        <v>0</v>
      </c>
      <c r="H212" s="230">
        <v>0</v>
      </c>
      <c r="I212" s="230"/>
      <c r="J212" s="230"/>
      <c r="K212" s="229"/>
      <c r="L212" s="229"/>
      <c r="M212" s="229"/>
      <c r="N212" s="229"/>
      <c r="O212" s="229"/>
      <c r="P212" s="229"/>
      <c r="Q212" s="243"/>
    </row>
    <row r="213" spans="1:17" ht="15.05" customHeight="1">
      <c r="A213" s="206"/>
      <c r="B213" s="207"/>
      <c r="C213" s="951" t="s">
        <v>99</v>
      </c>
      <c r="D213" s="951"/>
      <c r="E213" s="952"/>
      <c r="F213" s="952"/>
      <c r="G213" s="952"/>
      <c r="H213" s="952"/>
      <c r="I213" s="952"/>
      <c r="J213" s="952"/>
      <c r="K213" s="952"/>
      <c r="L213" s="952"/>
      <c r="M213" s="208">
        <f>SUM(M13:M212)</f>
        <v>7599.9500000000053</v>
      </c>
      <c r="N213" s="208">
        <f>SUM(N13:N212)</f>
        <v>76004.5</v>
      </c>
      <c r="O213" s="208">
        <f>SUM(O13:O212)</f>
        <v>356664.81999999983</v>
      </c>
      <c r="P213" s="208">
        <f>SUM(P13:P212)</f>
        <v>8267.730000000005</v>
      </c>
      <c r="Q213" s="208">
        <f>SUM(Q13:Q212)</f>
        <v>440937.05</v>
      </c>
    </row>
    <row r="214" spans="1:17" s="125" customFormat="1">
      <c r="J214" s="589"/>
    </row>
    <row r="215" spans="1:17" s="122" customFormat="1" ht="12.8" customHeight="1">
      <c r="B215" s="147" t="s">
        <v>54</v>
      </c>
      <c r="J215" s="590"/>
    </row>
    <row r="216" spans="1:17" s="122" customFormat="1" ht="45" customHeight="1">
      <c r="A216"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16" s="926"/>
      <c r="C216" s="926"/>
      <c r="D216" s="926"/>
      <c r="E216" s="926"/>
      <c r="F216" s="926"/>
      <c r="G216" s="926"/>
      <c r="H216" s="926"/>
      <c r="I216" s="926"/>
      <c r="J216" s="926"/>
      <c r="K216" s="926"/>
      <c r="L216" s="926"/>
      <c r="M216" s="926"/>
      <c r="N216" s="926"/>
      <c r="O216" s="926"/>
      <c r="P216" s="926"/>
      <c r="Q216" s="926"/>
    </row>
    <row r="217" spans="1:17" s="122" customFormat="1" ht="76.75" customHeight="1">
      <c r="A217" s="925"/>
      <c r="B217" s="925"/>
      <c r="C217" s="925"/>
      <c r="D217" s="925"/>
      <c r="E217" s="925"/>
      <c r="F217" s="925"/>
      <c r="G217" s="925"/>
      <c r="H217" s="925"/>
      <c r="I217" s="925"/>
      <c r="J217" s="925"/>
      <c r="K217" s="925"/>
      <c r="L217" s="925"/>
      <c r="M217" s="925"/>
      <c r="N217" s="925"/>
      <c r="O217" s="925"/>
      <c r="P217" s="925"/>
      <c r="Q217" s="925"/>
    </row>
    <row r="218" spans="1:17" s="122" customFormat="1" ht="12.8" customHeight="1">
      <c r="B218" s="148"/>
      <c r="J218" s="590"/>
    </row>
    <row r="219" spans="1:17" s="122" customFormat="1" ht="12.8" customHeight="1">
      <c r="B219" s="148"/>
      <c r="J219" s="590"/>
    </row>
    <row r="220" spans="1:17" s="125" customFormat="1">
      <c r="B220" s="125" t="s">
        <v>8</v>
      </c>
      <c r="J220" s="589"/>
      <c r="M220" s="157" t="str">
        <f>Koptame!B39</f>
        <v>Pārbaudīja:</v>
      </c>
      <c r="N220" s="157"/>
      <c r="O220" s="157"/>
      <c r="P220" s="157"/>
      <c r="Q220" s="157"/>
    </row>
    <row r="221" spans="1:17" s="125" customFormat="1">
      <c r="C221" s="175" t="str">
        <f>Koptame!C34</f>
        <v>Arnis Gailītis</v>
      </c>
      <c r="D221" s="191"/>
      <c r="J221" s="589"/>
      <c r="M221" s="175"/>
      <c r="N221" s="922" t="str">
        <f>Koptame!C40</f>
        <v>Dzintra Cīrule</v>
      </c>
      <c r="O221" s="922"/>
      <c r="P221" s="157"/>
      <c r="Q221" s="157"/>
    </row>
    <row r="222" spans="1:17" s="125" customFormat="1">
      <c r="C222" s="176" t="str">
        <f>Koptame!C35</f>
        <v>Sertifikāta Nr.20-5643</v>
      </c>
      <c r="D222" s="192"/>
      <c r="J222" s="589"/>
      <c r="M222" s="176"/>
      <c r="N222" s="923" t="str">
        <f>Koptame!C41</f>
        <v>Sertifikāta Nr.10-0363</v>
      </c>
      <c r="O222" s="923"/>
      <c r="P222" s="157"/>
      <c r="Q222" s="157"/>
    </row>
    <row r="223" spans="1:17" s="125" customFormat="1" collapsed="1">
      <c r="B223" s="146"/>
      <c r="G223" s="146"/>
      <c r="H223" s="146"/>
      <c r="J223" s="589"/>
    </row>
    <row r="224" spans="1:17">
      <c r="B224" s="56"/>
      <c r="G224" s="56"/>
      <c r="H224" s="56"/>
    </row>
    <row r="225" spans="2:8">
      <c r="B225" s="56"/>
      <c r="G225" s="56"/>
      <c r="H225" s="56"/>
    </row>
  </sheetData>
  <mergeCells count="18">
    <mergeCell ref="C13:D13"/>
    <mergeCell ref="N222:O222"/>
    <mergeCell ref="C213:L213"/>
    <mergeCell ref="A217:Q217"/>
    <mergeCell ref="N221:O221"/>
    <mergeCell ref="A216:Q216"/>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62"/>
  <sheetViews>
    <sheetView showZeros="0" view="pageBreakPreview" topLeftCell="A19" zoomScale="90" zoomScaleNormal="100" zoomScaleSheetLayoutView="90" workbookViewId="0">
      <selection activeCell="L36" sqref="L36"/>
    </sheetView>
  </sheetViews>
  <sheetFormatPr defaultColWidth="9.125" defaultRowHeight="14.4"/>
  <cols>
    <col min="1" max="1" width="9" style="19" customWidth="1"/>
    <col min="2" max="2" width="9.375" style="19" customWidth="1"/>
    <col min="3" max="3" width="40.25" style="19" customWidth="1"/>
    <col min="4" max="4" width="20.375" style="1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10" t="str">
        <f>kops2!B28</f>
        <v>2,8</v>
      </c>
    </row>
    <row r="2" spans="1:17" s="24" customFormat="1">
      <c r="A2" s="919" t="str">
        <f>C13</f>
        <v xml:space="preserve">Apsardzes un piekļuves sistēmas iekārtas un ierīces </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Q50</f>
        <v>43716.140000000007</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28" customHeight="1">
      <c r="A13" s="209"/>
      <c r="B13" s="210"/>
      <c r="C13" s="949" t="str">
        <f>kops2!C28</f>
        <v xml:space="preserve">Apsardzes un piekļuves sistēmas iekārtas un ierīces </v>
      </c>
      <c r="D13" s="950"/>
      <c r="E13" s="212"/>
      <c r="F13" s="213"/>
      <c r="G13" s="251">
        <v>0</v>
      </c>
      <c r="H13" s="251">
        <v>0</v>
      </c>
      <c r="I13" s="216"/>
      <c r="J13" s="215"/>
      <c r="K13" s="215"/>
      <c r="L13" s="277">
        <f t="shared" ref="L13" si="0">SUM(I13:K13)</f>
        <v>0</v>
      </c>
      <c r="M13" s="251">
        <f t="shared" ref="M13:M48" si="1">ROUND(G13*F13,2)</f>
        <v>0</v>
      </c>
      <c r="N13" s="277">
        <f t="shared" ref="N13" si="2">ROUND(I13*F13,2)</f>
        <v>0</v>
      </c>
      <c r="O13" s="277">
        <f t="shared" ref="O13" si="3">ROUND(J13*F13,2)</f>
        <v>0</v>
      </c>
      <c r="P13" s="277">
        <f t="shared" ref="P13" si="4">ROUND(K13*F13,2)</f>
        <v>0</v>
      </c>
      <c r="Q13" s="278">
        <f t="shared" ref="Q13" si="5">SUM(N13:P13)</f>
        <v>0</v>
      </c>
    </row>
    <row r="14" spans="1:17" s="56" customFormat="1" ht="62.2">
      <c r="A14" s="261">
        <v>1</v>
      </c>
      <c r="B14" s="583"/>
      <c r="C14" s="263" t="s">
        <v>719</v>
      </c>
      <c r="D14" s="264" t="s">
        <v>720</v>
      </c>
      <c r="E14" s="264" t="s">
        <v>721</v>
      </c>
      <c r="F14" s="264">
        <v>1</v>
      </c>
      <c r="G14" s="265">
        <v>12</v>
      </c>
      <c r="H14" s="266">
        <v>10</v>
      </c>
      <c r="I14" s="222">
        <f t="shared" ref="I14:I19" si="6">ROUND(G14*H14,2)</f>
        <v>120</v>
      </c>
      <c r="J14" s="267">
        <v>449.99</v>
      </c>
      <c r="K14" s="268">
        <f>I14*0.15</f>
        <v>18</v>
      </c>
      <c r="L14" s="102">
        <f t="shared" ref="L14:L48" si="7">SUM(I14:K14)</f>
        <v>587.99</v>
      </c>
      <c r="M14" s="50">
        <f t="shared" si="1"/>
        <v>12</v>
      </c>
      <c r="N14" s="102">
        <f t="shared" ref="N14:N48" si="8">ROUND(I14*F14,2)</f>
        <v>120</v>
      </c>
      <c r="O14" s="102">
        <f t="shared" ref="O14:O48" si="9">ROUND(J14*F14,2)</f>
        <v>449.99</v>
      </c>
      <c r="P14" s="102">
        <f t="shared" ref="P14:P48" si="10">ROUND(K14*F14,2)</f>
        <v>18</v>
      </c>
      <c r="Q14" s="103">
        <f t="shared" ref="Q14:Q48" si="11">SUM(N14:P14)</f>
        <v>587.99</v>
      </c>
    </row>
    <row r="15" spans="1:17" s="56" customFormat="1">
      <c r="A15" s="261">
        <v>2</v>
      </c>
      <c r="B15" s="583"/>
      <c r="C15" s="263" t="s">
        <v>722</v>
      </c>
      <c r="D15" s="264" t="s">
        <v>720</v>
      </c>
      <c r="E15" s="264" t="s">
        <v>723</v>
      </c>
      <c r="F15" s="264">
        <v>1</v>
      </c>
      <c r="G15" s="269">
        <v>9</v>
      </c>
      <c r="H15" s="266">
        <v>10</v>
      </c>
      <c r="I15" s="222">
        <f t="shared" si="6"/>
        <v>90</v>
      </c>
      <c r="J15" s="267">
        <v>590.19000000000005</v>
      </c>
      <c r="K15" s="268">
        <f t="shared" ref="K15:K19" si="12">I15*0.15</f>
        <v>13.5</v>
      </c>
      <c r="L15" s="102">
        <f t="shared" si="7"/>
        <v>693.69</v>
      </c>
      <c r="M15" s="50">
        <f t="shared" si="1"/>
        <v>9</v>
      </c>
      <c r="N15" s="102">
        <f t="shared" si="8"/>
        <v>90</v>
      </c>
      <c r="O15" s="102">
        <f t="shared" si="9"/>
        <v>590.19000000000005</v>
      </c>
      <c r="P15" s="102">
        <f t="shared" si="10"/>
        <v>13.5</v>
      </c>
      <c r="Q15" s="103">
        <f t="shared" si="11"/>
        <v>693.69</v>
      </c>
    </row>
    <row r="16" spans="1:17" s="56" customFormat="1" ht="24.9">
      <c r="A16" s="261">
        <v>3</v>
      </c>
      <c r="B16" s="583"/>
      <c r="C16" s="263" t="s">
        <v>724</v>
      </c>
      <c r="D16" s="270" t="s">
        <v>720</v>
      </c>
      <c r="E16" s="264" t="s">
        <v>723</v>
      </c>
      <c r="F16" s="264">
        <v>1</v>
      </c>
      <c r="G16" s="271">
        <v>11</v>
      </c>
      <c r="H16" s="266">
        <v>10</v>
      </c>
      <c r="I16" s="222">
        <f t="shared" si="6"/>
        <v>110</v>
      </c>
      <c r="J16" s="267">
        <v>287.42</v>
      </c>
      <c r="K16" s="268">
        <f t="shared" si="12"/>
        <v>16.5</v>
      </c>
      <c r="L16" s="102">
        <f t="shared" si="7"/>
        <v>413.92</v>
      </c>
      <c r="M16" s="50">
        <f t="shared" si="1"/>
        <v>11</v>
      </c>
      <c r="N16" s="102">
        <f t="shared" si="8"/>
        <v>110</v>
      </c>
      <c r="O16" s="102">
        <f t="shared" si="9"/>
        <v>287.42</v>
      </c>
      <c r="P16" s="102">
        <f t="shared" si="10"/>
        <v>16.5</v>
      </c>
      <c r="Q16" s="103">
        <f t="shared" si="11"/>
        <v>413.92</v>
      </c>
    </row>
    <row r="17" spans="1:17" s="56" customFormat="1">
      <c r="A17" s="261">
        <v>4</v>
      </c>
      <c r="B17" s="583"/>
      <c r="C17" s="263" t="s">
        <v>725</v>
      </c>
      <c r="D17" s="270" t="s">
        <v>720</v>
      </c>
      <c r="E17" s="264" t="s">
        <v>723</v>
      </c>
      <c r="F17" s="264">
        <v>1</v>
      </c>
      <c r="G17" s="269">
        <v>6</v>
      </c>
      <c r="H17" s="266">
        <v>10</v>
      </c>
      <c r="I17" s="222">
        <f t="shared" si="6"/>
        <v>60</v>
      </c>
      <c r="J17" s="267">
        <v>144.5</v>
      </c>
      <c r="K17" s="268">
        <f t="shared" si="12"/>
        <v>9</v>
      </c>
      <c r="L17" s="102">
        <f t="shared" si="7"/>
        <v>213.5</v>
      </c>
      <c r="M17" s="50">
        <f t="shared" si="1"/>
        <v>6</v>
      </c>
      <c r="N17" s="102">
        <f t="shared" si="8"/>
        <v>60</v>
      </c>
      <c r="O17" s="102">
        <f t="shared" si="9"/>
        <v>144.5</v>
      </c>
      <c r="P17" s="102">
        <f t="shared" si="10"/>
        <v>9</v>
      </c>
      <c r="Q17" s="103">
        <f t="shared" si="11"/>
        <v>213.5</v>
      </c>
    </row>
    <row r="18" spans="1:17" s="56" customFormat="1" ht="136.80000000000001">
      <c r="A18" s="261">
        <v>5</v>
      </c>
      <c r="B18" s="583"/>
      <c r="C18" s="263" t="s">
        <v>726</v>
      </c>
      <c r="D18" s="270" t="s">
        <v>720</v>
      </c>
      <c r="E18" s="264" t="s">
        <v>721</v>
      </c>
      <c r="F18" s="264">
        <v>1</v>
      </c>
      <c r="G18" s="272">
        <v>8</v>
      </c>
      <c r="H18" s="266">
        <v>10</v>
      </c>
      <c r="I18" s="222">
        <f t="shared" si="6"/>
        <v>80</v>
      </c>
      <c r="J18" s="267">
        <v>550.70000000000005</v>
      </c>
      <c r="K18" s="268">
        <f t="shared" si="12"/>
        <v>12</v>
      </c>
      <c r="L18" s="102">
        <f t="shared" si="7"/>
        <v>642.70000000000005</v>
      </c>
      <c r="M18" s="50">
        <f t="shared" si="1"/>
        <v>8</v>
      </c>
      <c r="N18" s="102">
        <f t="shared" si="8"/>
        <v>80</v>
      </c>
      <c r="O18" s="102">
        <f t="shared" si="9"/>
        <v>550.70000000000005</v>
      </c>
      <c r="P18" s="102">
        <f t="shared" si="10"/>
        <v>12</v>
      </c>
      <c r="Q18" s="103">
        <f t="shared" si="11"/>
        <v>642.70000000000005</v>
      </c>
    </row>
    <row r="19" spans="1:17" s="56" customFormat="1" ht="24.9">
      <c r="A19" s="261">
        <v>6</v>
      </c>
      <c r="B19" s="583"/>
      <c r="C19" s="263" t="s">
        <v>727</v>
      </c>
      <c r="D19" s="264" t="s">
        <v>720</v>
      </c>
      <c r="E19" s="264" t="s">
        <v>723</v>
      </c>
      <c r="F19" s="264">
        <v>1</v>
      </c>
      <c r="G19" s="271">
        <v>2.5</v>
      </c>
      <c r="H19" s="266">
        <v>10</v>
      </c>
      <c r="I19" s="222">
        <f t="shared" si="6"/>
        <v>25</v>
      </c>
      <c r="J19" s="267">
        <v>550.70000000000005</v>
      </c>
      <c r="K19" s="268">
        <f t="shared" si="12"/>
        <v>3.75</v>
      </c>
      <c r="L19" s="102">
        <f t="shared" si="7"/>
        <v>579.45000000000005</v>
      </c>
      <c r="M19" s="50">
        <f t="shared" si="1"/>
        <v>2.5</v>
      </c>
      <c r="N19" s="102">
        <f t="shared" si="8"/>
        <v>25</v>
      </c>
      <c r="O19" s="102">
        <f t="shared" si="9"/>
        <v>550.70000000000005</v>
      </c>
      <c r="P19" s="102">
        <f t="shared" si="10"/>
        <v>3.75</v>
      </c>
      <c r="Q19" s="103">
        <f t="shared" si="11"/>
        <v>579.45000000000005</v>
      </c>
    </row>
    <row r="20" spans="1:17" s="56" customFormat="1">
      <c r="A20" s="261">
        <v>7</v>
      </c>
      <c r="B20" s="583"/>
      <c r="C20" s="263" t="s">
        <v>728</v>
      </c>
      <c r="D20" s="264" t="s">
        <v>720</v>
      </c>
      <c r="E20" s="264" t="s">
        <v>723</v>
      </c>
      <c r="F20" s="264">
        <v>1</v>
      </c>
      <c r="G20" s="269">
        <v>14</v>
      </c>
      <c r="H20" s="266">
        <v>10</v>
      </c>
      <c r="I20" s="222">
        <f>ROUND(G20*H20,2)</f>
        <v>140</v>
      </c>
      <c r="J20" s="267">
        <v>2976.75</v>
      </c>
      <c r="K20" s="268">
        <f>I20*0.15</f>
        <v>21</v>
      </c>
      <c r="L20" s="102">
        <f t="shared" si="7"/>
        <v>3137.75</v>
      </c>
      <c r="M20" s="50">
        <f t="shared" si="1"/>
        <v>14</v>
      </c>
      <c r="N20" s="102">
        <f t="shared" si="8"/>
        <v>140</v>
      </c>
      <c r="O20" s="102">
        <f t="shared" si="9"/>
        <v>2976.75</v>
      </c>
      <c r="P20" s="102">
        <f t="shared" si="10"/>
        <v>21</v>
      </c>
      <c r="Q20" s="103">
        <f t="shared" si="11"/>
        <v>3137.75</v>
      </c>
    </row>
    <row r="21" spans="1:17" s="56" customFormat="1" ht="24.9">
      <c r="A21" s="261">
        <v>8</v>
      </c>
      <c r="B21" s="583"/>
      <c r="C21" s="263" t="s">
        <v>729</v>
      </c>
      <c r="D21" s="264" t="s">
        <v>720</v>
      </c>
      <c r="E21" s="264" t="s">
        <v>721</v>
      </c>
      <c r="F21" s="264">
        <v>1</v>
      </c>
      <c r="G21" s="271">
        <v>2.5</v>
      </c>
      <c r="H21" s="266">
        <v>10</v>
      </c>
      <c r="I21" s="222">
        <f>ROUND(G21*H21,2)</f>
        <v>25</v>
      </c>
      <c r="J21" s="267">
        <v>321.24</v>
      </c>
      <c r="K21" s="268">
        <f>I21*0.15</f>
        <v>3.75</v>
      </c>
      <c r="L21" s="102">
        <f t="shared" si="7"/>
        <v>349.99</v>
      </c>
      <c r="M21" s="50">
        <f t="shared" si="1"/>
        <v>2.5</v>
      </c>
      <c r="N21" s="102">
        <f t="shared" si="8"/>
        <v>25</v>
      </c>
      <c r="O21" s="102">
        <f t="shared" si="9"/>
        <v>321.24</v>
      </c>
      <c r="P21" s="102">
        <f t="shared" si="10"/>
        <v>3.75</v>
      </c>
      <c r="Q21" s="103">
        <f t="shared" si="11"/>
        <v>349.99</v>
      </c>
    </row>
    <row r="22" spans="1:17" s="56" customFormat="1">
      <c r="A22" s="261">
        <v>9</v>
      </c>
      <c r="B22" s="583"/>
      <c r="C22" s="263" t="s">
        <v>730</v>
      </c>
      <c r="D22" s="264" t="s">
        <v>720</v>
      </c>
      <c r="E22" s="264" t="s">
        <v>721</v>
      </c>
      <c r="F22" s="264">
        <v>1</v>
      </c>
      <c r="G22" s="269">
        <v>2.5</v>
      </c>
      <c r="H22" s="266">
        <v>10</v>
      </c>
      <c r="I22" s="222">
        <f t="shared" ref="I22:I30" si="13">ROUND(G22*H22,2)</f>
        <v>25</v>
      </c>
      <c r="J22" s="267">
        <v>318.2</v>
      </c>
      <c r="K22" s="268">
        <f t="shared" ref="K22:K30" si="14">I22*0.15</f>
        <v>3.75</v>
      </c>
      <c r="L22" s="102">
        <f t="shared" si="7"/>
        <v>346.95</v>
      </c>
      <c r="M22" s="50">
        <f t="shared" si="1"/>
        <v>2.5</v>
      </c>
      <c r="N22" s="102">
        <f t="shared" si="8"/>
        <v>25</v>
      </c>
      <c r="O22" s="102">
        <f t="shared" si="9"/>
        <v>318.2</v>
      </c>
      <c r="P22" s="102">
        <f t="shared" si="10"/>
        <v>3.75</v>
      </c>
      <c r="Q22" s="103">
        <f t="shared" si="11"/>
        <v>346.95</v>
      </c>
    </row>
    <row r="23" spans="1:17" s="56" customFormat="1" ht="24.9">
      <c r="A23" s="261">
        <v>10</v>
      </c>
      <c r="B23" s="583"/>
      <c r="C23" s="263" t="s">
        <v>731</v>
      </c>
      <c r="D23" s="264" t="s">
        <v>720</v>
      </c>
      <c r="E23" s="264" t="s">
        <v>721</v>
      </c>
      <c r="F23" s="264">
        <v>40</v>
      </c>
      <c r="G23" s="269">
        <v>4</v>
      </c>
      <c r="H23" s="266">
        <v>10</v>
      </c>
      <c r="I23" s="222">
        <f t="shared" si="13"/>
        <v>40</v>
      </c>
      <c r="J23" s="267">
        <v>271.88</v>
      </c>
      <c r="K23" s="268">
        <f t="shared" si="14"/>
        <v>6</v>
      </c>
      <c r="L23" s="102">
        <f t="shared" si="7"/>
        <v>317.88</v>
      </c>
      <c r="M23" s="50">
        <f t="shared" si="1"/>
        <v>160</v>
      </c>
      <c r="N23" s="102">
        <f t="shared" si="8"/>
        <v>1600</v>
      </c>
      <c r="O23" s="102">
        <f t="shared" si="9"/>
        <v>10875.2</v>
      </c>
      <c r="P23" s="102">
        <f t="shared" si="10"/>
        <v>240</v>
      </c>
      <c r="Q23" s="103">
        <f t="shared" si="11"/>
        <v>12715.2</v>
      </c>
    </row>
    <row r="24" spans="1:17" s="56" customFormat="1">
      <c r="A24" s="261">
        <v>11</v>
      </c>
      <c r="B24" s="583"/>
      <c r="C24" s="263" t="s">
        <v>732</v>
      </c>
      <c r="D24" s="264" t="s">
        <v>720</v>
      </c>
      <c r="E24" s="264" t="s">
        <v>723</v>
      </c>
      <c r="F24" s="264">
        <v>1</v>
      </c>
      <c r="G24" s="269">
        <v>1.8</v>
      </c>
      <c r="H24" s="266">
        <v>10</v>
      </c>
      <c r="I24" s="222">
        <f t="shared" si="13"/>
        <v>18</v>
      </c>
      <c r="J24" s="267">
        <v>157.11000000000001</v>
      </c>
      <c r="K24" s="268">
        <f t="shared" si="14"/>
        <v>2.6999999999999997</v>
      </c>
      <c r="L24" s="102">
        <f t="shared" si="7"/>
        <v>177.81</v>
      </c>
      <c r="M24" s="50">
        <f t="shared" si="1"/>
        <v>1.8</v>
      </c>
      <c r="N24" s="102">
        <f t="shared" si="8"/>
        <v>18</v>
      </c>
      <c r="O24" s="102">
        <f t="shared" si="9"/>
        <v>157.11000000000001</v>
      </c>
      <c r="P24" s="102">
        <f t="shared" si="10"/>
        <v>2.7</v>
      </c>
      <c r="Q24" s="103">
        <f t="shared" si="11"/>
        <v>177.81</v>
      </c>
    </row>
    <row r="25" spans="1:17" s="56" customFormat="1" ht="49.75">
      <c r="A25" s="261">
        <v>12</v>
      </c>
      <c r="B25" s="583"/>
      <c r="C25" s="263" t="s">
        <v>733</v>
      </c>
      <c r="D25" s="264"/>
      <c r="E25" s="264" t="s">
        <v>721</v>
      </c>
      <c r="F25" s="264">
        <v>1</v>
      </c>
      <c r="G25" s="266">
        <v>2.8</v>
      </c>
      <c r="H25" s="266">
        <v>10</v>
      </c>
      <c r="I25" s="222">
        <f t="shared" si="13"/>
        <v>28</v>
      </c>
      <c r="J25" s="267">
        <v>161</v>
      </c>
      <c r="K25" s="268">
        <f t="shared" si="14"/>
        <v>4.2</v>
      </c>
      <c r="L25" s="102">
        <f t="shared" si="7"/>
        <v>193.2</v>
      </c>
      <c r="M25" s="50">
        <f t="shared" si="1"/>
        <v>2.8</v>
      </c>
      <c r="N25" s="102">
        <f t="shared" si="8"/>
        <v>28</v>
      </c>
      <c r="O25" s="102">
        <f t="shared" si="9"/>
        <v>161</v>
      </c>
      <c r="P25" s="102">
        <f t="shared" si="10"/>
        <v>4.2</v>
      </c>
      <c r="Q25" s="103">
        <f t="shared" si="11"/>
        <v>193.2</v>
      </c>
    </row>
    <row r="26" spans="1:17" s="56" customFormat="1">
      <c r="A26" s="261">
        <v>13</v>
      </c>
      <c r="B26" s="583"/>
      <c r="C26" s="263" t="s">
        <v>734</v>
      </c>
      <c r="D26" s="264" t="s">
        <v>720</v>
      </c>
      <c r="E26" s="264" t="s">
        <v>723</v>
      </c>
      <c r="F26" s="264">
        <v>44</v>
      </c>
      <c r="G26" s="269">
        <v>0.8</v>
      </c>
      <c r="H26" s="266">
        <v>10</v>
      </c>
      <c r="I26" s="222">
        <f t="shared" si="13"/>
        <v>8</v>
      </c>
      <c r="J26" s="267">
        <v>23.3</v>
      </c>
      <c r="K26" s="268">
        <f t="shared" si="14"/>
        <v>1.2</v>
      </c>
      <c r="L26" s="102">
        <f t="shared" si="7"/>
        <v>32.5</v>
      </c>
      <c r="M26" s="50">
        <f t="shared" si="1"/>
        <v>35.200000000000003</v>
      </c>
      <c r="N26" s="102">
        <f t="shared" si="8"/>
        <v>352</v>
      </c>
      <c r="O26" s="102">
        <f t="shared" si="9"/>
        <v>1025.2</v>
      </c>
      <c r="P26" s="102">
        <f t="shared" si="10"/>
        <v>52.8</v>
      </c>
      <c r="Q26" s="103">
        <f t="shared" si="11"/>
        <v>1430</v>
      </c>
    </row>
    <row r="27" spans="1:17" s="56" customFormat="1">
      <c r="A27" s="261">
        <v>14</v>
      </c>
      <c r="B27" s="583"/>
      <c r="C27" s="263" t="s">
        <v>735</v>
      </c>
      <c r="D27" s="264" t="s">
        <v>720</v>
      </c>
      <c r="E27" s="264" t="s">
        <v>723</v>
      </c>
      <c r="F27" s="264">
        <v>1</v>
      </c>
      <c r="G27" s="269">
        <v>6</v>
      </c>
      <c r="H27" s="266">
        <v>10</v>
      </c>
      <c r="I27" s="222">
        <f t="shared" si="13"/>
        <v>60</v>
      </c>
      <c r="J27" s="267">
        <v>415</v>
      </c>
      <c r="K27" s="268">
        <f t="shared" si="14"/>
        <v>9</v>
      </c>
      <c r="L27" s="102">
        <f t="shared" si="7"/>
        <v>484</v>
      </c>
      <c r="M27" s="50">
        <f t="shared" si="1"/>
        <v>6</v>
      </c>
      <c r="N27" s="102">
        <f t="shared" si="8"/>
        <v>60</v>
      </c>
      <c r="O27" s="102">
        <f t="shared" si="9"/>
        <v>415</v>
      </c>
      <c r="P27" s="102">
        <f t="shared" si="10"/>
        <v>9</v>
      </c>
      <c r="Q27" s="103">
        <f t="shared" si="11"/>
        <v>484</v>
      </c>
    </row>
    <row r="28" spans="1:17" s="56" customFormat="1">
      <c r="A28" s="261">
        <v>15</v>
      </c>
      <c r="B28" s="583"/>
      <c r="C28" s="263" t="s">
        <v>736</v>
      </c>
      <c r="D28" s="264"/>
      <c r="E28" s="264" t="s">
        <v>723</v>
      </c>
      <c r="F28" s="259">
        <v>1</v>
      </c>
      <c r="G28" s="269">
        <v>0.6</v>
      </c>
      <c r="H28" s="266">
        <v>10</v>
      </c>
      <c r="I28" s="222">
        <f t="shared" si="13"/>
        <v>6</v>
      </c>
      <c r="J28" s="267">
        <v>42</v>
      </c>
      <c r="K28" s="268">
        <f t="shared" si="14"/>
        <v>0.89999999999999991</v>
      </c>
      <c r="L28" s="102">
        <f t="shared" si="7"/>
        <v>48.9</v>
      </c>
      <c r="M28" s="50">
        <f t="shared" si="1"/>
        <v>0.6</v>
      </c>
      <c r="N28" s="102">
        <f t="shared" si="8"/>
        <v>6</v>
      </c>
      <c r="O28" s="102">
        <f t="shared" si="9"/>
        <v>42</v>
      </c>
      <c r="P28" s="102">
        <f t="shared" si="10"/>
        <v>0.9</v>
      </c>
      <c r="Q28" s="103">
        <f t="shared" si="11"/>
        <v>48.9</v>
      </c>
    </row>
    <row r="29" spans="1:17" s="56" customFormat="1" ht="24.9">
      <c r="A29" s="261">
        <v>16</v>
      </c>
      <c r="B29" s="583"/>
      <c r="C29" s="263" t="s">
        <v>737</v>
      </c>
      <c r="D29" s="270" t="s">
        <v>738</v>
      </c>
      <c r="E29" s="264" t="s">
        <v>723</v>
      </c>
      <c r="F29" s="264">
        <v>7</v>
      </c>
      <c r="G29" s="271">
        <v>1.2</v>
      </c>
      <c r="H29" s="266">
        <v>10</v>
      </c>
      <c r="I29" s="222">
        <f t="shared" si="13"/>
        <v>12</v>
      </c>
      <c r="J29" s="267">
        <v>41.33</v>
      </c>
      <c r="K29" s="268">
        <f t="shared" si="14"/>
        <v>1.7999999999999998</v>
      </c>
      <c r="L29" s="102">
        <f t="shared" si="7"/>
        <v>55.129999999999995</v>
      </c>
      <c r="M29" s="50">
        <f t="shared" si="1"/>
        <v>8.4</v>
      </c>
      <c r="N29" s="102">
        <f t="shared" si="8"/>
        <v>84</v>
      </c>
      <c r="O29" s="102">
        <f t="shared" si="9"/>
        <v>289.31</v>
      </c>
      <c r="P29" s="102">
        <f t="shared" si="10"/>
        <v>12.6</v>
      </c>
      <c r="Q29" s="103">
        <f t="shared" si="11"/>
        <v>385.91</v>
      </c>
    </row>
    <row r="30" spans="1:17" s="56" customFormat="1" ht="24.9">
      <c r="A30" s="261">
        <v>17</v>
      </c>
      <c r="B30" s="583"/>
      <c r="C30" s="263" t="s">
        <v>739</v>
      </c>
      <c r="D30" s="270" t="s">
        <v>740</v>
      </c>
      <c r="E30" s="264" t="s">
        <v>723</v>
      </c>
      <c r="F30" s="264">
        <f>61-F29</f>
        <v>54</v>
      </c>
      <c r="G30" s="271">
        <v>1.2</v>
      </c>
      <c r="H30" s="266">
        <v>10</v>
      </c>
      <c r="I30" s="222">
        <f t="shared" si="13"/>
        <v>12</v>
      </c>
      <c r="J30" s="267">
        <v>40.549999999999997</v>
      </c>
      <c r="K30" s="268">
        <f t="shared" si="14"/>
        <v>1.7999999999999998</v>
      </c>
      <c r="L30" s="102">
        <f t="shared" si="7"/>
        <v>54.349999999999994</v>
      </c>
      <c r="M30" s="50">
        <f t="shared" si="1"/>
        <v>64.8</v>
      </c>
      <c r="N30" s="102">
        <f t="shared" si="8"/>
        <v>648</v>
      </c>
      <c r="O30" s="102">
        <f t="shared" si="9"/>
        <v>2189.6999999999998</v>
      </c>
      <c r="P30" s="102">
        <f t="shared" si="10"/>
        <v>97.2</v>
      </c>
      <c r="Q30" s="103">
        <f t="shared" si="11"/>
        <v>2934.8999999999996</v>
      </c>
    </row>
    <row r="31" spans="1:17" s="56" customFormat="1">
      <c r="A31" s="737"/>
      <c r="B31" s="583"/>
      <c r="C31" s="273" t="s">
        <v>741</v>
      </c>
      <c r="D31" s="274"/>
      <c r="E31" s="274"/>
      <c r="F31" s="274"/>
      <c r="G31" s="275">
        <f>IFERROR(ROUND(I31/H31,2),0)</f>
        <v>0</v>
      </c>
      <c r="H31" s="275">
        <f>IF(I31&gt;0,5,0)</f>
        <v>0</v>
      </c>
      <c r="I31" s="316"/>
      <c r="J31" s="316"/>
      <c r="K31" s="316"/>
      <c r="L31" s="102">
        <f t="shared" si="7"/>
        <v>0</v>
      </c>
      <c r="M31" s="50">
        <f t="shared" si="1"/>
        <v>0</v>
      </c>
      <c r="N31" s="102">
        <f t="shared" si="8"/>
        <v>0</v>
      </c>
      <c r="O31" s="102">
        <f t="shared" si="9"/>
        <v>0</v>
      </c>
      <c r="P31" s="102">
        <f t="shared" si="10"/>
        <v>0</v>
      </c>
      <c r="Q31" s="103">
        <f t="shared" si="11"/>
        <v>0</v>
      </c>
    </row>
    <row r="32" spans="1:17" s="56" customFormat="1">
      <c r="A32" s="261">
        <v>18</v>
      </c>
      <c r="B32" s="583"/>
      <c r="C32" s="263" t="s">
        <v>742</v>
      </c>
      <c r="D32" s="264"/>
      <c r="E32" s="264" t="s">
        <v>723</v>
      </c>
      <c r="F32" s="264">
        <v>47</v>
      </c>
      <c r="G32" s="269">
        <v>0.45</v>
      </c>
      <c r="H32" s="266">
        <v>10</v>
      </c>
      <c r="I32" s="222">
        <f t="shared" ref="I32:I38" si="15">ROUND(G32*H32,2)</f>
        <v>4.5</v>
      </c>
      <c r="J32" s="267">
        <v>7.6</v>
      </c>
      <c r="K32" s="268">
        <f t="shared" ref="K32:K38" si="16">I32*0.15</f>
        <v>0.67499999999999993</v>
      </c>
      <c r="L32" s="102">
        <f t="shared" si="7"/>
        <v>12.775</v>
      </c>
      <c r="M32" s="50">
        <f t="shared" si="1"/>
        <v>21.15</v>
      </c>
      <c r="N32" s="102">
        <f t="shared" si="8"/>
        <v>211.5</v>
      </c>
      <c r="O32" s="102">
        <f t="shared" si="9"/>
        <v>357.2</v>
      </c>
      <c r="P32" s="102">
        <f t="shared" si="10"/>
        <v>31.73</v>
      </c>
      <c r="Q32" s="103">
        <f t="shared" si="11"/>
        <v>600.43000000000006</v>
      </c>
    </row>
    <row r="33" spans="1:17" s="56" customFormat="1">
      <c r="A33" s="261">
        <f>A32+1</f>
        <v>19</v>
      </c>
      <c r="B33" s="583"/>
      <c r="C33" s="263" t="s">
        <v>743</v>
      </c>
      <c r="D33" s="264"/>
      <c r="E33" s="264" t="s">
        <v>723</v>
      </c>
      <c r="F33" s="264">
        <v>2</v>
      </c>
      <c r="G33" s="269">
        <v>0.9</v>
      </c>
      <c r="H33" s="266">
        <v>10</v>
      </c>
      <c r="I33" s="222">
        <f t="shared" si="15"/>
        <v>9</v>
      </c>
      <c r="J33" s="267">
        <v>4.91</v>
      </c>
      <c r="K33" s="268">
        <f t="shared" si="16"/>
        <v>1.3499999999999999</v>
      </c>
      <c r="L33" s="102">
        <f t="shared" si="7"/>
        <v>15.26</v>
      </c>
      <c r="M33" s="50">
        <f t="shared" si="1"/>
        <v>1.8</v>
      </c>
      <c r="N33" s="102">
        <f t="shared" si="8"/>
        <v>18</v>
      </c>
      <c r="O33" s="102">
        <f t="shared" si="9"/>
        <v>9.82</v>
      </c>
      <c r="P33" s="102">
        <f t="shared" si="10"/>
        <v>2.7</v>
      </c>
      <c r="Q33" s="103">
        <f t="shared" si="11"/>
        <v>30.52</v>
      </c>
    </row>
    <row r="34" spans="1:17" s="56" customFormat="1">
      <c r="A34" s="261">
        <f>A33+1</f>
        <v>20</v>
      </c>
      <c r="B34" s="583"/>
      <c r="C34" s="263" t="s">
        <v>744</v>
      </c>
      <c r="D34" s="264"/>
      <c r="E34" s="264" t="s">
        <v>723</v>
      </c>
      <c r="F34" s="264">
        <v>24</v>
      </c>
      <c r="G34" s="269">
        <v>1.8</v>
      </c>
      <c r="H34" s="266">
        <v>10</v>
      </c>
      <c r="I34" s="222">
        <f t="shared" si="15"/>
        <v>18</v>
      </c>
      <c r="J34" s="267">
        <v>17.059999999999999</v>
      </c>
      <c r="K34" s="268">
        <f t="shared" si="16"/>
        <v>2.6999999999999997</v>
      </c>
      <c r="L34" s="102">
        <f t="shared" si="7"/>
        <v>37.760000000000005</v>
      </c>
      <c r="M34" s="50">
        <f t="shared" si="1"/>
        <v>43.2</v>
      </c>
      <c r="N34" s="102">
        <f t="shared" si="8"/>
        <v>432</v>
      </c>
      <c r="O34" s="102">
        <f t="shared" si="9"/>
        <v>409.44</v>
      </c>
      <c r="P34" s="102">
        <f t="shared" si="10"/>
        <v>64.8</v>
      </c>
      <c r="Q34" s="103">
        <f t="shared" si="11"/>
        <v>906.24</v>
      </c>
    </row>
    <row r="35" spans="1:17" s="56" customFormat="1" ht="24.9">
      <c r="A35" s="261">
        <f t="shared" ref="A35:A38" si="17">A34+1</f>
        <v>21</v>
      </c>
      <c r="B35" s="583"/>
      <c r="C35" s="263" t="s">
        <v>745</v>
      </c>
      <c r="D35" s="264"/>
      <c r="E35" s="264" t="s">
        <v>723</v>
      </c>
      <c r="F35" s="264">
        <v>24</v>
      </c>
      <c r="G35" s="271">
        <v>0.9</v>
      </c>
      <c r="H35" s="266">
        <v>10</v>
      </c>
      <c r="I35" s="222">
        <f t="shared" si="15"/>
        <v>9</v>
      </c>
      <c r="J35" s="267">
        <v>5.07</v>
      </c>
      <c r="K35" s="268">
        <f t="shared" si="16"/>
        <v>1.3499999999999999</v>
      </c>
      <c r="L35" s="102">
        <f t="shared" si="7"/>
        <v>15.42</v>
      </c>
      <c r="M35" s="50">
        <f t="shared" si="1"/>
        <v>21.6</v>
      </c>
      <c r="N35" s="102">
        <f t="shared" si="8"/>
        <v>216</v>
      </c>
      <c r="O35" s="102">
        <f t="shared" si="9"/>
        <v>121.68</v>
      </c>
      <c r="P35" s="102">
        <f t="shared" si="10"/>
        <v>32.4</v>
      </c>
      <c r="Q35" s="103">
        <f t="shared" si="11"/>
        <v>370.08</v>
      </c>
    </row>
    <row r="36" spans="1:17" s="56" customFormat="1">
      <c r="A36" s="261">
        <f t="shared" si="17"/>
        <v>22</v>
      </c>
      <c r="B36" s="583"/>
      <c r="C36" s="263" t="s">
        <v>746</v>
      </c>
      <c r="D36" s="264" t="s">
        <v>747</v>
      </c>
      <c r="E36" s="264" t="s">
        <v>723</v>
      </c>
      <c r="F36" s="264">
        <v>39</v>
      </c>
      <c r="G36" s="269">
        <v>2.5</v>
      </c>
      <c r="H36" s="266">
        <v>10</v>
      </c>
      <c r="I36" s="222">
        <f t="shared" si="15"/>
        <v>25</v>
      </c>
      <c r="J36" s="267">
        <v>80.97</v>
      </c>
      <c r="K36" s="268">
        <f t="shared" si="16"/>
        <v>3.75</v>
      </c>
      <c r="L36" s="102">
        <f t="shared" si="7"/>
        <v>109.72</v>
      </c>
      <c r="M36" s="50">
        <f t="shared" si="1"/>
        <v>97.5</v>
      </c>
      <c r="N36" s="102">
        <f t="shared" si="8"/>
        <v>975</v>
      </c>
      <c r="O36" s="102">
        <f t="shared" si="9"/>
        <v>3157.83</v>
      </c>
      <c r="P36" s="102">
        <f t="shared" si="10"/>
        <v>146.25</v>
      </c>
      <c r="Q36" s="103">
        <f t="shared" si="11"/>
        <v>4279.08</v>
      </c>
    </row>
    <row r="37" spans="1:17" s="56" customFormat="1">
      <c r="A37" s="261">
        <f t="shared" si="17"/>
        <v>23</v>
      </c>
      <c r="B37" s="583"/>
      <c r="C37" s="263" t="s">
        <v>748</v>
      </c>
      <c r="D37" s="264" t="s">
        <v>749</v>
      </c>
      <c r="E37" s="264" t="s">
        <v>723</v>
      </c>
      <c r="F37" s="264">
        <v>40</v>
      </c>
      <c r="G37" s="269">
        <v>0.65</v>
      </c>
      <c r="H37" s="266">
        <v>10</v>
      </c>
      <c r="I37" s="222">
        <f t="shared" si="15"/>
        <v>6.5</v>
      </c>
      <c r="J37" s="267">
        <v>0.9</v>
      </c>
      <c r="K37" s="268">
        <f t="shared" si="16"/>
        <v>0.97499999999999998</v>
      </c>
      <c r="L37" s="102">
        <f t="shared" si="7"/>
        <v>8.375</v>
      </c>
      <c r="M37" s="50">
        <f t="shared" si="1"/>
        <v>26</v>
      </c>
      <c r="N37" s="102">
        <f t="shared" si="8"/>
        <v>260</v>
      </c>
      <c r="O37" s="102">
        <f t="shared" si="9"/>
        <v>36</v>
      </c>
      <c r="P37" s="102">
        <f t="shared" si="10"/>
        <v>39</v>
      </c>
      <c r="Q37" s="103">
        <f t="shared" si="11"/>
        <v>335</v>
      </c>
    </row>
    <row r="38" spans="1:17" s="56" customFormat="1">
      <c r="A38" s="261">
        <f t="shared" si="17"/>
        <v>24</v>
      </c>
      <c r="B38" s="583"/>
      <c r="C38" s="263" t="s">
        <v>750</v>
      </c>
      <c r="D38" s="264"/>
      <c r="E38" s="264" t="s">
        <v>723</v>
      </c>
      <c r="F38" s="264">
        <v>40</v>
      </c>
      <c r="G38" s="269">
        <v>0.7</v>
      </c>
      <c r="H38" s="266">
        <v>10</v>
      </c>
      <c r="I38" s="222">
        <f t="shared" si="15"/>
        <v>7</v>
      </c>
      <c r="J38" s="267">
        <v>41</v>
      </c>
      <c r="K38" s="268">
        <f t="shared" si="16"/>
        <v>1.05</v>
      </c>
      <c r="L38" s="102">
        <f t="shared" si="7"/>
        <v>49.05</v>
      </c>
      <c r="M38" s="50">
        <f t="shared" si="1"/>
        <v>28</v>
      </c>
      <c r="N38" s="102">
        <f t="shared" si="8"/>
        <v>280</v>
      </c>
      <c r="O38" s="102">
        <f t="shared" si="9"/>
        <v>1640</v>
      </c>
      <c r="P38" s="102">
        <f t="shared" si="10"/>
        <v>42</v>
      </c>
      <c r="Q38" s="103">
        <f t="shared" si="11"/>
        <v>1962</v>
      </c>
    </row>
    <row r="39" spans="1:17" s="56" customFormat="1">
      <c r="A39" s="737"/>
      <c r="B39" s="583"/>
      <c r="C39" s="273" t="s">
        <v>751</v>
      </c>
      <c r="D39" s="274"/>
      <c r="E39" s="274"/>
      <c r="F39" s="274"/>
      <c r="G39" s="275">
        <f>IFERROR(ROUND(I39/H39,2),0)</f>
        <v>0</v>
      </c>
      <c r="H39" s="275">
        <f>IF(I39&gt;0,5,0)</f>
        <v>0</v>
      </c>
      <c r="I39" s="316"/>
      <c r="J39" s="316"/>
      <c r="K39" s="316"/>
      <c r="L39" s="102">
        <f t="shared" si="7"/>
        <v>0</v>
      </c>
      <c r="M39" s="50">
        <f t="shared" si="1"/>
        <v>0</v>
      </c>
      <c r="N39" s="102">
        <f t="shared" si="8"/>
        <v>0</v>
      </c>
      <c r="O39" s="102">
        <f t="shared" si="9"/>
        <v>0</v>
      </c>
      <c r="P39" s="102">
        <f t="shared" si="10"/>
        <v>0</v>
      </c>
      <c r="Q39" s="103">
        <f t="shared" si="11"/>
        <v>0</v>
      </c>
    </row>
    <row r="40" spans="1:17" s="56" customFormat="1">
      <c r="A40" s="261">
        <f>A38+1</f>
        <v>25</v>
      </c>
      <c r="B40" s="583"/>
      <c r="C40" s="263" t="s">
        <v>752</v>
      </c>
      <c r="D40" s="270" t="s">
        <v>753</v>
      </c>
      <c r="E40" s="270" t="s">
        <v>111</v>
      </c>
      <c r="F40" s="270">
        <v>1600</v>
      </c>
      <c r="G40" s="269">
        <v>0.05</v>
      </c>
      <c r="H40" s="266">
        <v>10</v>
      </c>
      <c r="I40" s="222">
        <f t="shared" ref="I40:I48" si="18">ROUND(G40*H40,2)</f>
        <v>0.5</v>
      </c>
      <c r="J40" s="267">
        <v>0.33</v>
      </c>
      <c r="K40" s="268">
        <f t="shared" ref="K40:K48" si="19">I40*0.15</f>
        <v>7.4999999999999997E-2</v>
      </c>
      <c r="L40" s="102">
        <f t="shared" si="7"/>
        <v>0.90500000000000003</v>
      </c>
      <c r="M40" s="50">
        <f t="shared" si="1"/>
        <v>80</v>
      </c>
      <c r="N40" s="102">
        <f t="shared" si="8"/>
        <v>800</v>
      </c>
      <c r="O40" s="102">
        <f t="shared" si="9"/>
        <v>528</v>
      </c>
      <c r="P40" s="102">
        <f t="shared" si="10"/>
        <v>120</v>
      </c>
      <c r="Q40" s="103">
        <f t="shared" si="11"/>
        <v>1448</v>
      </c>
    </row>
    <row r="41" spans="1:17" s="56" customFormat="1">
      <c r="A41" s="261">
        <f>A40+1</f>
        <v>26</v>
      </c>
      <c r="B41" s="583"/>
      <c r="C41" s="263" t="s">
        <v>754</v>
      </c>
      <c r="D41" s="270" t="s">
        <v>755</v>
      </c>
      <c r="E41" s="270" t="s">
        <v>111</v>
      </c>
      <c r="F41" s="270">
        <v>1800</v>
      </c>
      <c r="G41" s="269">
        <v>0.05</v>
      </c>
      <c r="H41" s="266">
        <v>10</v>
      </c>
      <c r="I41" s="222">
        <f t="shared" si="18"/>
        <v>0.5</v>
      </c>
      <c r="J41" s="267">
        <v>0.22</v>
      </c>
      <c r="K41" s="268">
        <f t="shared" si="19"/>
        <v>7.4999999999999997E-2</v>
      </c>
      <c r="L41" s="102">
        <f t="shared" si="7"/>
        <v>0.79499999999999993</v>
      </c>
      <c r="M41" s="50">
        <f t="shared" si="1"/>
        <v>90</v>
      </c>
      <c r="N41" s="102">
        <f t="shared" si="8"/>
        <v>900</v>
      </c>
      <c r="O41" s="102">
        <f t="shared" si="9"/>
        <v>396</v>
      </c>
      <c r="P41" s="102">
        <f t="shared" si="10"/>
        <v>135</v>
      </c>
      <c r="Q41" s="103">
        <f t="shared" si="11"/>
        <v>1431</v>
      </c>
    </row>
    <row r="42" spans="1:17" s="56" customFormat="1">
      <c r="A42" s="261">
        <f>A41+1</f>
        <v>27</v>
      </c>
      <c r="B42" s="583"/>
      <c r="C42" s="263" t="s">
        <v>756</v>
      </c>
      <c r="D42" s="270" t="s">
        <v>757</v>
      </c>
      <c r="E42" s="270" t="s">
        <v>111</v>
      </c>
      <c r="F42" s="270">
        <v>1000</v>
      </c>
      <c r="G42" s="269">
        <v>0.08</v>
      </c>
      <c r="H42" s="266">
        <v>10</v>
      </c>
      <c r="I42" s="222">
        <f t="shared" si="18"/>
        <v>0.8</v>
      </c>
      <c r="J42" s="267">
        <v>1.08</v>
      </c>
      <c r="K42" s="268">
        <f t="shared" si="19"/>
        <v>0.12</v>
      </c>
      <c r="L42" s="102">
        <f t="shared" si="7"/>
        <v>2</v>
      </c>
      <c r="M42" s="50">
        <f t="shared" si="1"/>
        <v>80</v>
      </c>
      <c r="N42" s="102">
        <f t="shared" si="8"/>
        <v>800</v>
      </c>
      <c r="O42" s="102">
        <f t="shared" si="9"/>
        <v>1080</v>
      </c>
      <c r="P42" s="102">
        <f t="shared" si="10"/>
        <v>120</v>
      </c>
      <c r="Q42" s="103">
        <f t="shared" si="11"/>
        <v>2000</v>
      </c>
    </row>
    <row r="43" spans="1:17" s="56" customFormat="1">
      <c r="A43" s="261">
        <f t="shared" ref="A43:A48" si="20">A42+1</f>
        <v>28</v>
      </c>
      <c r="B43" s="583"/>
      <c r="C43" s="263" t="s">
        <v>756</v>
      </c>
      <c r="D43" s="270" t="s">
        <v>758</v>
      </c>
      <c r="E43" s="270" t="s">
        <v>111</v>
      </c>
      <c r="F43" s="270">
        <v>200</v>
      </c>
      <c r="G43" s="269">
        <v>0.08</v>
      </c>
      <c r="H43" s="266">
        <v>10</v>
      </c>
      <c r="I43" s="222">
        <f t="shared" si="18"/>
        <v>0.8</v>
      </c>
      <c r="J43" s="267">
        <v>0.18</v>
      </c>
      <c r="K43" s="268">
        <f t="shared" si="19"/>
        <v>0.12</v>
      </c>
      <c r="L43" s="102">
        <f t="shared" si="7"/>
        <v>1.1000000000000001</v>
      </c>
      <c r="M43" s="50">
        <f t="shared" si="1"/>
        <v>16</v>
      </c>
      <c r="N43" s="102">
        <f t="shared" si="8"/>
        <v>160</v>
      </c>
      <c r="O43" s="102">
        <f t="shared" si="9"/>
        <v>36</v>
      </c>
      <c r="P43" s="102">
        <f t="shared" si="10"/>
        <v>24</v>
      </c>
      <c r="Q43" s="103">
        <f t="shared" si="11"/>
        <v>220</v>
      </c>
    </row>
    <row r="44" spans="1:17" s="56" customFormat="1">
      <c r="A44" s="261">
        <f t="shared" si="20"/>
        <v>29</v>
      </c>
      <c r="B44" s="583"/>
      <c r="C44" s="263" t="s">
        <v>759</v>
      </c>
      <c r="D44" s="270" t="s">
        <v>760</v>
      </c>
      <c r="E44" s="270" t="s">
        <v>111</v>
      </c>
      <c r="F44" s="270">
        <v>2000</v>
      </c>
      <c r="G44" s="264">
        <v>0.08</v>
      </c>
      <c r="H44" s="266">
        <v>10</v>
      </c>
      <c r="I44" s="222">
        <f t="shared" si="18"/>
        <v>0.8</v>
      </c>
      <c r="J44" s="222">
        <v>0.31</v>
      </c>
      <c r="K44" s="268">
        <f t="shared" si="19"/>
        <v>0.12</v>
      </c>
      <c r="L44" s="102">
        <f t="shared" si="7"/>
        <v>1.23</v>
      </c>
      <c r="M44" s="50">
        <f t="shared" si="1"/>
        <v>160</v>
      </c>
      <c r="N44" s="102">
        <f t="shared" si="8"/>
        <v>1600</v>
      </c>
      <c r="O44" s="102">
        <f t="shared" si="9"/>
        <v>620</v>
      </c>
      <c r="P44" s="102">
        <f t="shared" si="10"/>
        <v>240</v>
      </c>
      <c r="Q44" s="103">
        <f t="shared" si="11"/>
        <v>2460</v>
      </c>
    </row>
    <row r="45" spans="1:17" s="56" customFormat="1">
      <c r="A45" s="261">
        <f t="shared" si="20"/>
        <v>30</v>
      </c>
      <c r="B45" s="583"/>
      <c r="C45" s="263" t="s">
        <v>761</v>
      </c>
      <c r="D45" s="270" t="s">
        <v>762</v>
      </c>
      <c r="E45" s="270" t="s">
        <v>111</v>
      </c>
      <c r="F45" s="270">
        <v>200</v>
      </c>
      <c r="G45" s="269">
        <v>0.08</v>
      </c>
      <c r="H45" s="266">
        <v>10</v>
      </c>
      <c r="I45" s="222">
        <f t="shared" si="18"/>
        <v>0.8</v>
      </c>
      <c r="J45" s="267">
        <v>1.1599999999999999</v>
      </c>
      <c r="K45" s="268">
        <f t="shared" si="19"/>
        <v>0.12</v>
      </c>
      <c r="L45" s="102">
        <f t="shared" si="7"/>
        <v>2.08</v>
      </c>
      <c r="M45" s="50">
        <f t="shared" si="1"/>
        <v>16</v>
      </c>
      <c r="N45" s="102">
        <f t="shared" si="8"/>
        <v>160</v>
      </c>
      <c r="O45" s="102">
        <f t="shared" si="9"/>
        <v>232</v>
      </c>
      <c r="P45" s="102">
        <f t="shared" si="10"/>
        <v>24</v>
      </c>
      <c r="Q45" s="103">
        <f t="shared" si="11"/>
        <v>416</v>
      </c>
    </row>
    <row r="46" spans="1:17" s="56" customFormat="1">
      <c r="A46" s="261">
        <f t="shared" si="20"/>
        <v>31</v>
      </c>
      <c r="B46" s="583"/>
      <c r="C46" s="263" t="s">
        <v>763</v>
      </c>
      <c r="D46" s="270"/>
      <c r="E46" s="270" t="s">
        <v>723</v>
      </c>
      <c r="F46" s="270">
        <v>1</v>
      </c>
      <c r="G46" s="269">
        <v>0.45</v>
      </c>
      <c r="H46" s="266">
        <v>10</v>
      </c>
      <c r="I46" s="222">
        <f t="shared" si="18"/>
        <v>4.5</v>
      </c>
      <c r="J46" s="267">
        <v>0.95</v>
      </c>
      <c r="K46" s="268">
        <f t="shared" si="19"/>
        <v>0.67499999999999993</v>
      </c>
      <c r="L46" s="102">
        <f t="shared" si="7"/>
        <v>6.125</v>
      </c>
      <c r="M46" s="50">
        <f t="shared" si="1"/>
        <v>0.45</v>
      </c>
      <c r="N46" s="102">
        <f t="shared" si="8"/>
        <v>4.5</v>
      </c>
      <c r="O46" s="102">
        <f t="shared" si="9"/>
        <v>0.95</v>
      </c>
      <c r="P46" s="102">
        <f t="shared" si="10"/>
        <v>0.68</v>
      </c>
      <c r="Q46" s="103">
        <f t="shared" si="11"/>
        <v>6.13</v>
      </c>
    </row>
    <row r="47" spans="1:17" s="56" customFormat="1">
      <c r="A47" s="261">
        <f t="shared" si="20"/>
        <v>32</v>
      </c>
      <c r="B47" s="583"/>
      <c r="C47" s="263" t="s">
        <v>764</v>
      </c>
      <c r="D47" s="270"/>
      <c r="E47" s="270" t="s">
        <v>721</v>
      </c>
      <c r="F47" s="270">
        <v>1</v>
      </c>
      <c r="G47" s="269"/>
      <c r="H47" s="266"/>
      <c r="I47" s="222">
        <f t="shared" si="18"/>
        <v>0</v>
      </c>
      <c r="J47" s="267">
        <v>1847</v>
      </c>
      <c r="K47" s="268">
        <f t="shared" si="19"/>
        <v>0</v>
      </c>
      <c r="L47" s="102">
        <f t="shared" si="7"/>
        <v>1847</v>
      </c>
      <c r="M47" s="50">
        <f t="shared" si="1"/>
        <v>0</v>
      </c>
      <c r="N47" s="102">
        <f t="shared" si="8"/>
        <v>0</v>
      </c>
      <c r="O47" s="102">
        <f t="shared" si="9"/>
        <v>1847</v>
      </c>
      <c r="P47" s="102">
        <f t="shared" si="10"/>
        <v>0</v>
      </c>
      <c r="Q47" s="103">
        <f t="shared" si="11"/>
        <v>1847</v>
      </c>
    </row>
    <row r="48" spans="1:17" s="56" customFormat="1">
      <c r="A48" s="261">
        <f t="shared" si="20"/>
        <v>33</v>
      </c>
      <c r="B48" s="583"/>
      <c r="C48" s="263" t="s">
        <v>765</v>
      </c>
      <c r="D48" s="276" t="s">
        <v>766</v>
      </c>
      <c r="E48" s="272" t="s">
        <v>721</v>
      </c>
      <c r="F48" s="264">
        <v>1</v>
      </c>
      <c r="G48" s="264">
        <v>4</v>
      </c>
      <c r="H48" s="266">
        <v>10</v>
      </c>
      <c r="I48" s="222">
        <f t="shared" si="18"/>
        <v>40</v>
      </c>
      <c r="J48" s="222">
        <v>22.8</v>
      </c>
      <c r="K48" s="268">
        <f t="shared" si="19"/>
        <v>6</v>
      </c>
      <c r="L48" s="102">
        <f t="shared" si="7"/>
        <v>68.8</v>
      </c>
      <c r="M48" s="50">
        <f t="shared" si="1"/>
        <v>4</v>
      </c>
      <c r="N48" s="102">
        <f t="shared" si="8"/>
        <v>40</v>
      </c>
      <c r="O48" s="102">
        <f t="shared" si="9"/>
        <v>22.8</v>
      </c>
      <c r="P48" s="102">
        <f t="shared" si="10"/>
        <v>6</v>
      </c>
      <c r="Q48" s="103">
        <f t="shared" si="11"/>
        <v>68.8</v>
      </c>
    </row>
    <row r="49" spans="1:17">
      <c r="A49" s="225"/>
      <c r="B49" s="226"/>
      <c r="C49" s="227"/>
      <c r="D49" s="227"/>
      <c r="E49" s="228"/>
      <c r="F49" s="229"/>
      <c r="G49" s="230">
        <v>0</v>
      </c>
      <c r="H49" s="230">
        <v>0</v>
      </c>
      <c r="I49" s="230"/>
      <c r="J49" s="229"/>
      <c r="K49" s="229"/>
      <c r="L49" s="229"/>
      <c r="M49" s="229"/>
      <c r="N49" s="229"/>
      <c r="O49" s="229"/>
      <c r="P49" s="229"/>
      <c r="Q49" s="243"/>
    </row>
    <row r="50" spans="1:17" ht="15.05" customHeight="1">
      <c r="A50" s="206"/>
      <c r="B50" s="207"/>
      <c r="C50" s="951" t="s">
        <v>99</v>
      </c>
      <c r="D50" s="951"/>
      <c r="E50" s="952"/>
      <c r="F50" s="952"/>
      <c r="G50" s="952"/>
      <c r="H50" s="952"/>
      <c r="I50" s="952"/>
      <c r="J50" s="952"/>
      <c r="K50" s="952"/>
      <c r="L50" s="952"/>
      <c r="M50" s="208">
        <f>SUM(M13:M49)</f>
        <v>1032.8</v>
      </c>
      <c r="N50" s="208">
        <f>SUM(N13:N49)</f>
        <v>10328</v>
      </c>
      <c r="O50" s="208">
        <f>SUM(O13:O49)</f>
        <v>31838.93</v>
      </c>
      <c r="P50" s="208">
        <f>SUM(P13:P49)</f>
        <v>1549.21</v>
      </c>
      <c r="Q50" s="208">
        <f>SUM(Q13:Q49)</f>
        <v>43716.140000000007</v>
      </c>
    </row>
    <row r="51" spans="1:17" s="125" customFormat="1">
      <c r="J51" s="146"/>
    </row>
    <row r="52" spans="1:17" s="122" customFormat="1" ht="12.8" customHeight="1">
      <c r="B52" s="147" t="s">
        <v>54</v>
      </c>
    </row>
    <row r="53" spans="1:17" s="122" customFormat="1" ht="45" customHeight="1">
      <c r="A53"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53" s="926"/>
      <c r="C53" s="926"/>
      <c r="D53" s="926"/>
      <c r="E53" s="926"/>
      <c r="F53" s="926"/>
      <c r="G53" s="926"/>
      <c r="H53" s="926"/>
      <c r="I53" s="926"/>
      <c r="J53" s="926"/>
      <c r="K53" s="926"/>
      <c r="L53" s="926"/>
      <c r="M53" s="926"/>
      <c r="N53" s="926"/>
      <c r="O53" s="926"/>
      <c r="P53" s="926"/>
      <c r="Q53" s="926"/>
    </row>
    <row r="54" spans="1:17" s="122" customFormat="1" ht="76.75" customHeight="1">
      <c r="A54" s="925"/>
      <c r="B54" s="925"/>
      <c r="C54" s="925"/>
      <c r="D54" s="925"/>
      <c r="E54" s="925"/>
      <c r="F54" s="925"/>
      <c r="G54" s="925"/>
      <c r="H54" s="925"/>
      <c r="I54" s="925"/>
      <c r="J54" s="925"/>
      <c r="K54" s="925"/>
      <c r="L54" s="925"/>
      <c r="M54" s="925"/>
      <c r="N54" s="925"/>
      <c r="O54" s="925"/>
      <c r="P54" s="925"/>
      <c r="Q54" s="925"/>
    </row>
    <row r="55" spans="1:17" s="122" customFormat="1" ht="12.8" customHeight="1">
      <c r="B55" s="148"/>
    </row>
    <row r="56" spans="1:17" s="122" customFormat="1" ht="12.8" customHeight="1">
      <c r="B56" s="148"/>
    </row>
    <row r="57" spans="1:17" s="125" customFormat="1">
      <c r="B57" s="125" t="s">
        <v>8</v>
      </c>
      <c r="M57" s="157" t="str">
        <f>Koptame!B39</f>
        <v>Pārbaudīja:</v>
      </c>
      <c r="N57" s="157"/>
      <c r="O57" s="157"/>
      <c r="P57" s="157"/>
      <c r="Q57" s="157"/>
    </row>
    <row r="58" spans="1:17" s="125" customFormat="1">
      <c r="C58" s="175" t="str">
        <f>Koptame!C34</f>
        <v>Arnis Gailītis</v>
      </c>
      <c r="D58" s="191"/>
      <c r="M58" s="175"/>
      <c r="N58" s="922" t="str">
        <f>Koptame!C40</f>
        <v>Dzintra Cīrule</v>
      </c>
      <c r="O58" s="922"/>
      <c r="P58" s="157"/>
      <c r="Q58" s="157"/>
    </row>
    <row r="59" spans="1:17" s="125" customFormat="1">
      <c r="C59" s="176" t="str">
        <f>Koptame!C35</f>
        <v>Sertifikāta Nr.20-5643</v>
      </c>
      <c r="D59" s="192"/>
      <c r="M59" s="176"/>
      <c r="N59" s="923" t="str">
        <f>Koptame!C41</f>
        <v>Sertifikāta Nr.10-0363</v>
      </c>
      <c r="O59" s="923"/>
      <c r="P59" s="157"/>
      <c r="Q59" s="157"/>
    </row>
    <row r="60" spans="1:17" s="125" customFormat="1" collapsed="1">
      <c r="B60" s="146"/>
      <c r="G60" s="146"/>
      <c r="H60" s="146"/>
    </row>
    <row r="61" spans="1:17">
      <c r="B61" s="56"/>
      <c r="G61" s="56"/>
      <c r="H61" s="56"/>
    </row>
    <row r="62" spans="1:17">
      <c r="B62" s="56"/>
      <c r="G62" s="56"/>
      <c r="H62" s="56"/>
    </row>
  </sheetData>
  <mergeCells count="18">
    <mergeCell ref="C13:D13"/>
    <mergeCell ref="N59:O59"/>
    <mergeCell ref="C50:L50"/>
    <mergeCell ref="A54:Q54"/>
    <mergeCell ref="N58:O58"/>
    <mergeCell ref="A53:Q53"/>
    <mergeCell ref="G11:L11"/>
    <mergeCell ref="M11:Q11"/>
    <mergeCell ref="A11:A12"/>
    <mergeCell ref="B11:B12"/>
    <mergeCell ref="E11:E12"/>
    <mergeCell ref="F11:F12"/>
    <mergeCell ref="C11:D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8"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33"/>
  <sheetViews>
    <sheetView showZeros="0" view="pageBreakPreview" zoomScale="90" zoomScaleNormal="100" zoomScaleSheetLayoutView="90" workbookViewId="0">
      <selection activeCell="D4" sqref="D4:P4"/>
    </sheetView>
  </sheetViews>
  <sheetFormatPr defaultColWidth="9.125" defaultRowHeight="14.4"/>
  <cols>
    <col min="1" max="1" width="9" style="19" customWidth="1"/>
    <col min="2" max="2" width="9.375" style="19" customWidth="1"/>
    <col min="3" max="3" width="40.25" style="1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3.25" style="19" customWidth="1"/>
    <col min="17" max="16384" width="9.125" style="19"/>
  </cols>
  <sheetData>
    <row r="1" spans="1:16" s="24" customFormat="1">
      <c r="E1" s="21"/>
      <c r="F1" s="21"/>
      <c r="G1" s="181" t="s">
        <v>92</v>
      </c>
      <c r="H1" s="110" t="str">
        <f>kops2!B28</f>
        <v>2,8</v>
      </c>
    </row>
    <row r="2" spans="1:16" s="24" customFormat="1">
      <c r="A2" s="919" t="str">
        <f>C13</f>
        <v>Piekļuves  kontrole un EDS sistēma</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P21</f>
        <v>11917.390000000003</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40" t="s">
        <v>97</v>
      </c>
      <c r="D11" s="931" t="s">
        <v>22</v>
      </c>
      <c r="E11" s="927" t="s">
        <v>23</v>
      </c>
      <c r="F11" s="924" t="s">
        <v>24</v>
      </c>
      <c r="G11" s="924"/>
      <c r="H11" s="924"/>
      <c r="I11" s="924"/>
      <c r="J11" s="924"/>
      <c r="K11" s="924"/>
      <c r="L11" s="924" t="s">
        <v>25</v>
      </c>
      <c r="M11" s="924"/>
      <c r="N11" s="924"/>
      <c r="O11" s="924"/>
      <c r="P11" s="924"/>
    </row>
    <row r="12" spans="1:16" ht="62.85">
      <c r="A12" s="927"/>
      <c r="B12" s="935"/>
      <c r="C12" s="947"/>
      <c r="D12" s="931"/>
      <c r="E12" s="927"/>
      <c r="F12" s="593" t="s">
        <v>26</v>
      </c>
      <c r="G12" s="593" t="s">
        <v>58</v>
      </c>
      <c r="H12" s="593" t="s">
        <v>59</v>
      </c>
      <c r="I12" s="593" t="s">
        <v>95</v>
      </c>
      <c r="J12" s="593" t="s">
        <v>60</v>
      </c>
      <c r="K12" s="593" t="s">
        <v>61</v>
      </c>
      <c r="L12" s="593" t="s">
        <v>18</v>
      </c>
      <c r="M12" s="593" t="s">
        <v>59</v>
      </c>
      <c r="N12" s="593" t="s">
        <v>95</v>
      </c>
      <c r="O12" s="593" t="s">
        <v>60</v>
      </c>
      <c r="P12" s="593" t="s">
        <v>62</v>
      </c>
    </row>
    <row r="13" spans="1:16" ht="28" customHeight="1">
      <c r="A13" s="209"/>
      <c r="B13" s="210"/>
      <c r="C13" s="594" t="str">
        <f>kops2!C29</f>
        <v>Piekļuves  kontrole un EDS sistēma</v>
      </c>
      <c r="D13" s="212"/>
      <c r="E13" s="213"/>
      <c r="F13" s="251">
        <v>0</v>
      </c>
      <c r="G13" s="251">
        <v>0</v>
      </c>
      <c r="H13" s="216"/>
      <c r="I13" s="215"/>
      <c r="J13" s="215"/>
      <c r="K13" s="277">
        <f t="shared" ref="K13" si="0">SUM(H13:J13)</f>
        <v>0</v>
      </c>
      <c r="L13" s="251">
        <f t="shared" ref="L13:L19" si="1">ROUND(F13*E13,2)</f>
        <v>0</v>
      </c>
      <c r="M13" s="277">
        <f t="shared" ref="M13" si="2">ROUND(H13*E13,2)</f>
        <v>0</v>
      </c>
      <c r="N13" s="277">
        <f t="shared" ref="N13" si="3">ROUND(I13*E13,2)</f>
        <v>0</v>
      </c>
      <c r="O13" s="277">
        <f t="shared" ref="O13" si="4">ROUND(J13*E13,2)</f>
        <v>0</v>
      </c>
      <c r="P13" s="278">
        <f t="shared" ref="P13" si="5">SUM(M13:O13)</f>
        <v>0</v>
      </c>
    </row>
    <row r="14" spans="1:16" s="56" customFormat="1" ht="25.55">
      <c r="A14" s="261">
        <v>1</v>
      </c>
      <c r="B14" s="262"/>
      <c r="C14" s="595" t="s">
        <v>1442</v>
      </c>
      <c r="D14" s="264" t="s">
        <v>721</v>
      </c>
      <c r="E14" s="264">
        <v>1</v>
      </c>
      <c r="F14" s="596">
        <v>23.400000000000002</v>
      </c>
      <c r="G14" s="596">
        <v>10</v>
      </c>
      <c r="H14" s="596">
        <f t="shared" ref="H14" si="6">ROUND(F14*G14,2)</f>
        <v>234</v>
      </c>
      <c r="I14" s="597">
        <v>8073.56</v>
      </c>
      <c r="J14" s="597">
        <f t="shared" ref="J14:J18" si="7">ROUND(H14*0.16,2)</f>
        <v>37.44</v>
      </c>
      <c r="K14" s="102">
        <f t="shared" ref="K14:K19" si="8">SUM(H14:J14)</f>
        <v>8345.0000000000018</v>
      </c>
      <c r="L14" s="50">
        <f t="shared" si="1"/>
        <v>23.4</v>
      </c>
      <c r="M14" s="102">
        <f t="shared" ref="M14:M19" si="9">ROUND(H14*E14,2)</f>
        <v>234</v>
      </c>
      <c r="N14" s="102">
        <f t="shared" ref="N14:N19" si="10">ROUND(I14*E14,2)</f>
        <v>8073.56</v>
      </c>
      <c r="O14" s="102">
        <f t="shared" ref="O14:O19" si="11">ROUND(J14*E14,2)</f>
        <v>37.44</v>
      </c>
      <c r="P14" s="103">
        <f t="shared" ref="P14:P19" si="12">SUM(M14:O14)</f>
        <v>8345.0000000000018</v>
      </c>
    </row>
    <row r="15" spans="1:16" s="56" customFormat="1">
      <c r="A15" s="261">
        <v>2</v>
      </c>
      <c r="B15" s="262"/>
      <c r="C15" s="595" t="s">
        <v>1443</v>
      </c>
      <c r="D15" s="264" t="s">
        <v>721</v>
      </c>
      <c r="E15" s="264">
        <v>1</v>
      </c>
      <c r="F15" s="596">
        <v>5.2</v>
      </c>
      <c r="G15" s="596">
        <v>10</v>
      </c>
      <c r="H15" s="596">
        <f>ROUND(F15*G15,2)</f>
        <v>52</v>
      </c>
      <c r="I15" s="597">
        <v>477.7</v>
      </c>
      <c r="J15" s="597">
        <f t="shared" si="7"/>
        <v>8.32</v>
      </c>
      <c r="K15" s="102">
        <f t="shared" si="8"/>
        <v>538.0200000000001</v>
      </c>
      <c r="L15" s="50">
        <f t="shared" si="1"/>
        <v>5.2</v>
      </c>
      <c r="M15" s="102">
        <f t="shared" si="9"/>
        <v>52</v>
      </c>
      <c r="N15" s="102">
        <f t="shared" si="10"/>
        <v>477.7</v>
      </c>
      <c r="O15" s="102">
        <f t="shared" si="11"/>
        <v>8.32</v>
      </c>
      <c r="P15" s="103">
        <f t="shared" si="12"/>
        <v>538.0200000000001</v>
      </c>
    </row>
    <row r="16" spans="1:16" s="56" customFormat="1">
      <c r="A16" s="261">
        <v>3</v>
      </c>
      <c r="B16" s="262"/>
      <c r="C16" s="595" t="s">
        <v>1444</v>
      </c>
      <c r="D16" s="264" t="s">
        <v>721</v>
      </c>
      <c r="E16" s="264">
        <v>1</v>
      </c>
      <c r="F16" s="596">
        <v>1.3</v>
      </c>
      <c r="G16" s="596">
        <v>10</v>
      </c>
      <c r="H16" s="596">
        <f>ROUND(F16*G16,2)</f>
        <v>13</v>
      </c>
      <c r="I16" s="597">
        <v>67.180000000000007</v>
      </c>
      <c r="J16" s="597">
        <f t="shared" si="7"/>
        <v>2.08</v>
      </c>
      <c r="K16" s="102">
        <f t="shared" si="8"/>
        <v>82.26</v>
      </c>
      <c r="L16" s="50">
        <f t="shared" si="1"/>
        <v>1.3</v>
      </c>
      <c r="M16" s="102">
        <f t="shared" si="9"/>
        <v>13</v>
      </c>
      <c r="N16" s="102">
        <f t="shared" si="10"/>
        <v>67.180000000000007</v>
      </c>
      <c r="O16" s="102">
        <f t="shared" si="11"/>
        <v>2.08</v>
      </c>
      <c r="P16" s="103">
        <f t="shared" si="12"/>
        <v>82.26</v>
      </c>
    </row>
    <row r="17" spans="1:16" s="56" customFormat="1">
      <c r="A17" s="261">
        <v>4</v>
      </c>
      <c r="B17" s="262"/>
      <c r="C17" s="595" t="s">
        <v>1445</v>
      </c>
      <c r="D17" s="264" t="s">
        <v>721</v>
      </c>
      <c r="E17" s="264">
        <v>1</v>
      </c>
      <c r="F17" s="596">
        <v>10.4</v>
      </c>
      <c r="G17" s="596">
        <v>10</v>
      </c>
      <c r="H17" s="596">
        <f>ROUND(F17*G17,2)</f>
        <v>104</v>
      </c>
      <c r="I17" s="597">
        <v>870.8</v>
      </c>
      <c r="J17" s="597">
        <f t="shared" si="7"/>
        <v>16.64</v>
      </c>
      <c r="K17" s="102">
        <f t="shared" si="8"/>
        <v>991.43999999999994</v>
      </c>
      <c r="L17" s="50">
        <f t="shared" si="1"/>
        <v>10.4</v>
      </c>
      <c r="M17" s="102">
        <f t="shared" si="9"/>
        <v>104</v>
      </c>
      <c r="N17" s="102">
        <f t="shared" si="10"/>
        <v>870.8</v>
      </c>
      <c r="O17" s="102">
        <f t="shared" si="11"/>
        <v>16.64</v>
      </c>
      <c r="P17" s="103">
        <f t="shared" si="12"/>
        <v>991.43999999999994</v>
      </c>
    </row>
    <row r="18" spans="1:16" s="56" customFormat="1">
      <c r="A18" s="261">
        <v>5</v>
      </c>
      <c r="B18" s="262"/>
      <c r="C18" s="595" t="s">
        <v>1446</v>
      </c>
      <c r="D18" s="264" t="s">
        <v>721</v>
      </c>
      <c r="E18" s="264">
        <v>1</v>
      </c>
      <c r="F18" s="596">
        <v>23.400000000000002</v>
      </c>
      <c r="G18" s="596">
        <v>10</v>
      </c>
      <c r="H18" s="596">
        <f>ROUND(F18*G18,2)</f>
        <v>234</v>
      </c>
      <c r="I18" s="597">
        <v>1156.92</v>
      </c>
      <c r="J18" s="597">
        <f t="shared" si="7"/>
        <v>37.44</v>
      </c>
      <c r="K18" s="102">
        <f t="shared" si="8"/>
        <v>1428.3600000000001</v>
      </c>
      <c r="L18" s="50">
        <f t="shared" si="1"/>
        <v>23.4</v>
      </c>
      <c r="M18" s="102">
        <f t="shared" si="9"/>
        <v>234</v>
      </c>
      <c r="N18" s="102">
        <f t="shared" si="10"/>
        <v>1156.92</v>
      </c>
      <c r="O18" s="102">
        <f t="shared" si="11"/>
        <v>37.44</v>
      </c>
      <c r="P18" s="103">
        <f t="shared" si="12"/>
        <v>1428.3600000000001</v>
      </c>
    </row>
    <row r="19" spans="1:16" s="56" customFormat="1">
      <c r="A19" s="598">
        <v>6</v>
      </c>
      <c r="B19" s="599"/>
      <c r="C19" s="603" t="s">
        <v>1447</v>
      </c>
      <c r="D19" s="600" t="s">
        <v>721</v>
      </c>
      <c r="E19" s="600">
        <v>1</v>
      </c>
      <c r="F19" s="601">
        <v>0</v>
      </c>
      <c r="G19" s="601"/>
      <c r="H19" s="601"/>
      <c r="I19" s="602"/>
      <c r="J19" s="602">
        <v>532.30999999999995</v>
      </c>
      <c r="K19" s="102">
        <f t="shared" si="8"/>
        <v>532.30999999999995</v>
      </c>
      <c r="L19" s="50">
        <f t="shared" si="1"/>
        <v>0</v>
      </c>
      <c r="M19" s="102">
        <f t="shared" si="9"/>
        <v>0</v>
      </c>
      <c r="N19" s="102">
        <f t="shared" si="10"/>
        <v>0</v>
      </c>
      <c r="O19" s="102">
        <f t="shared" si="11"/>
        <v>532.30999999999995</v>
      </c>
      <c r="P19" s="103">
        <f t="shared" si="12"/>
        <v>532.30999999999995</v>
      </c>
    </row>
    <row r="20" spans="1:16">
      <c r="A20" s="225"/>
      <c r="B20" s="226"/>
      <c r="C20" s="227"/>
      <c r="D20" s="228"/>
      <c r="E20" s="229"/>
      <c r="F20" s="230">
        <v>0</v>
      </c>
      <c r="G20" s="230">
        <v>0</v>
      </c>
      <c r="H20" s="230"/>
      <c r="I20" s="229"/>
      <c r="J20" s="229"/>
      <c r="K20" s="229"/>
      <c r="L20" s="229"/>
      <c r="M20" s="229"/>
      <c r="N20" s="229"/>
      <c r="O20" s="229"/>
      <c r="P20" s="243"/>
    </row>
    <row r="21" spans="1:16" ht="15.05" customHeight="1">
      <c r="A21" s="206"/>
      <c r="B21" s="207"/>
      <c r="C21" s="951" t="s">
        <v>99</v>
      </c>
      <c r="D21" s="952"/>
      <c r="E21" s="952"/>
      <c r="F21" s="952"/>
      <c r="G21" s="952"/>
      <c r="H21" s="952"/>
      <c r="I21" s="952"/>
      <c r="J21" s="952"/>
      <c r="K21" s="952"/>
      <c r="L21" s="208">
        <f>SUM(L13:L20)</f>
        <v>63.699999999999996</v>
      </c>
      <c r="M21" s="208">
        <f>SUM(M13:M20)</f>
        <v>637</v>
      </c>
      <c r="N21" s="208">
        <f>SUM(N13:N20)</f>
        <v>10646.16</v>
      </c>
      <c r="O21" s="208">
        <f>SUM(O13:O20)</f>
        <v>634.2299999999999</v>
      </c>
      <c r="P21" s="208">
        <f>SUM(P13:P20)</f>
        <v>11917.390000000003</v>
      </c>
    </row>
    <row r="22" spans="1:16" s="125" customFormat="1">
      <c r="I22" s="146"/>
    </row>
    <row r="23" spans="1:16" s="122" customFormat="1" ht="12.8" customHeight="1">
      <c r="B23" s="147" t="s">
        <v>54</v>
      </c>
    </row>
    <row r="24" spans="1:16" s="122" customFormat="1" ht="45" customHeight="1">
      <c r="A24"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4" s="926"/>
      <c r="C24" s="926"/>
      <c r="D24" s="926"/>
      <c r="E24" s="926"/>
      <c r="F24" s="926"/>
      <c r="G24" s="926"/>
      <c r="H24" s="926"/>
      <c r="I24" s="926"/>
      <c r="J24" s="926"/>
      <c r="K24" s="926"/>
      <c r="L24" s="926"/>
      <c r="M24" s="926"/>
      <c r="N24" s="926"/>
      <c r="O24" s="926"/>
      <c r="P24" s="926"/>
    </row>
    <row r="25" spans="1:16" s="122" customFormat="1" ht="76.75" customHeight="1">
      <c r="A25" s="925"/>
      <c r="B25" s="925"/>
      <c r="C25" s="925"/>
      <c r="D25" s="925"/>
      <c r="E25" s="925"/>
      <c r="F25" s="925"/>
      <c r="G25" s="925"/>
      <c r="H25" s="925"/>
      <c r="I25" s="925"/>
      <c r="J25" s="925"/>
      <c r="K25" s="925"/>
      <c r="L25" s="925"/>
      <c r="M25" s="925"/>
      <c r="N25" s="925"/>
      <c r="O25" s="925"/>
      <c r="P25" s="925"/>
    </row>
    <row r="26" spans="1:16" s="122" customFormat="1" ht="12.8" customHeight="1">
      <c r="B26" s="148"/>
    </row>
    <row r="27" spans="1:16" s="122" customFormat="1" ht="12.8" customHeight="1">
      <c r="B27" s="148"/>
    </row>
    <row r="28" spans="1:16" s="125" customFormat="1">
      <c r="B28" s="125" t="s">
        <v>8</v>
      </c>
      <c r="L28" s="157" t="str">
        <f>Koptame!B39</f>
        <v>Pārbaudīja:</v>
      </c>
      <c r="M28" s="157"/>
      <c r="N28" s="157"/>
      <c r="O28" s="157"/>
      <c r="P28" s="157"/>
    </row>
    <row r="29" spans="1:16" s="125" customFormat="1">
      <c r="C29" s="591" t="str">
        <f>Koptame!C34</f>
        <v>Arnis Gailītis</v>
      </c>
      <c r="L29" s="591"/>
      <c r="M29" s="922" t="str">
        <f>Koptame!C40</f>
        <v>Dzintra Cīrule</v>
      </c>
      <c r="N29" s="922"/>
      <c r="O29" s="157"/>
      <c r="P29" s="157"/>
    </row>
    <row r="30" spans="1:16" s="125" customFormat="1">
      <c r="C30" s="592" t="str">
        <f>Koptame!C35</f>
        <v>Sertifikāta Nr.20-5643</v>
      </c>
      <c r="L30" s="592"/>
      <c r="M30" s="923" t="str">
        <f>Koptame!C41</f>
        <v>Sertifikāta Nr.10-0363</v>
      </c>
      <c r="N30" s="923"/>
      <c r="O30" s="157"/>
      <c r="P30" s="157"/>
    </row>
    <row r="31" spans="1:16" s="125" customFormat="1" collapsed="1">
      <c r="B31" s="146"/>
      <c r="F31" s="146"/>
      <c r="G31" s="146"/>
    </row>
    <row r="32" spans="1:16">
      <c r="B32" s="56"/>
      <c r="F32" s="56"/>
      <c r="G32" s="56"/>
    </row>
    <row r="33" spans="2:7">
      <c r="B33" s="56"/>
      <c r="F33" s="56"/>
      <c r="G33" s="56"/>
    </row>
  </sheetData>
  <mergeCells count="17">
    <mergeCell ref="M29:N29"/>
    <mergeCell ref="M30:N30"/>
    <mergeCell ref="F11:K11"/>
    <mergeCell ref="L11:P11"/>
    <mergeCell ref="C21:K21"/>
    <mergeCell ref="A24:P24"/>
    <mergeCell ref="A25:P25"/>
    <mergeCell ref="A11:A12"/>
    <mergeCell ref="B11:B12"/>
    <mergeCell ref="C11:C12"/>
    <mergeCell ref="D11:D12"/>
    <mergeCell ref="E11:E12"/>
    <mergeCell ref="A2:P2"/>
    <mergeCell ref="D3:P3"/>
    <mergeCell ref="D4:P4"/>
    <mergeCell ref="D5:P5"/>
    <mergeCell ref="L9:O9"/>
  </mergeCells>
  <printOptions horizontalCentered="1"/>
  <pageMargins left="0.27559055118110237" right="0.27559055118110237" top="0.74803149606299213" bottom="0.74803149606299213" header="0.31496062992125984" footer="0.31496062992125984"/>
  <pageSetup paperSize="9" scale="68"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52"/>
  <sheetViews>
    <sheetView showZeros="0" view="pageBreakPreview" topLeftCell="A22" zoomScale="90" zoomScaleNormal="100" zoomScaleSheetLayoutView="90" workbookViewId="0">
      <selection activeCell="A14" sqref="A14:K38"/>
    </sheetView>
  </sheetViews>
  <sheetFormatPr defaultColWidth="9.125" defaultRowHeight="14.4"/>
  <cols>
    <col min="1" max="1" width="9" style="19" customWidth="1"/>
    <col min="2" max="2" width="9.375" style="19" customWidth="1"/>
    <col min="3" max="3" width="40.25" style="19" customWidth="1"/>
    <col min="4" max="4" width="15.625" style="1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F1" s="21"/>
      <c r="G1" s="21"/>
      <c r="H1" s="181" t="s">
        <v>92</v>
      </c>
      <c r="I1" s="110" t="str">
        <f>kops2!B30</f>
        <v>2,10</v>
      </c>
    </row>
    <row r="2" spans="1:17" s="24" customFormat="1">
      <c r="A2" s="919" t="str">
        <f>C13</f>
        <v xml:space="preserve">Ugunsgrēka atklāšanas un trauksmes signalizācijas sistēma </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Q40</f>
        <v>30601.86</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73.5" customHeight="1">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30.45" customHeight="1">
      <c r="A13" s="209"/>
      <c r="B13" s="210">
        <v>0</v>
      </c>
      <c r="C13" s="949" t="str">
        <f>kops2!C30</f>
        <v xml:space="preserve">Ugunsgrēka atklāšanas un trauksmes signalizācijas sistēma </v>
      </c>
      <c r="D13" s="950"/>
      <c r="E13" s="212"/>
      <c r="F13" s="213"/>
      <c r="G13" s="251">
        <v>0</v>
      </c>
      <c r="H13" s="251">
        <v>0</v>
      </c>
      <c r="I13" s="216"/>
      <c r="J13" s="215"/>
      <c r="K13" s="215"/>
      <c r="L13" s="277">
        <f t="shared" ref="L13" si="0">SUM(I13:K13)</f>
        <v>0</v>
      </c>
      <c r="M13" s="251">
        <f t="shared" ref="M13:M38" si="1">ROUND(G13*F13,2)</f>
        <v>0</v>
      </c>
      <c r="N13" s="277">
        <f t="shared" ref="N13" si="2">ROUND(I13*F13,2)</f>
        <v>0</v>
      </c>
      <c r="O13" s="277">
        <f t="shared" ref="O13" si="3">ROUND(J13*F13,2)</f>
        <v>0</v>
      </c>
      <c r="P13" s="277">
        <f t="shared" ref="P13" si="4">ROUND(K13*F13,2)</f>
        <v>0</v>
      </c>
      <c r="Q13" s="278">
        <f t="shared" ref="Q13" si="5">SUM(N13:P13)</f>
        <v>0</v>
      </c>
    </row>
    <row r="14" spans="1:17" s="56" customFormat="1">
      <c r="A14" s="279">
        <v>1</v>
      </c>
      <c r="B14" s="583"/>
      <c r="C14" s="280" t="s">
        <v>768</v>
      </c>
      <c r="D14" s="281" t="s">
        <v>769</v>
      </c>
      <c r="E14" s="282" t="s">
        <v>721</v>
      </c>
      <c r="F14" s="283">
        <v>1</v>
      </c>
      <c r="G14" s="314">
        <v>14</v>
      </c>
      <c r="H14" s="284">
        <v>10</v>
      </c>
      <c r="I14" s="275">
        <f>ROUND(G14*H14,2)</f>
        <v>140</v>
      </c>
      <c r="J14" s="275">
        <v>795.81</v>
      </c>
      <c r="K14" s="285">
        <f>I14*0.15</f>
        <v>21</v>
      </c>
      <c r="L14" s="102">
        <f t="shared" ref="L14:L38" si="6">SUM(I14:K14)</f>
        <v>956.81</v>
      </c>
      <c r="M14" s="50">
        <f t="shared" si="1"/>
        <v>14</v>
      </c>
      <c r="N14" s="102">
        <f t="shared" ref="N14:N38" si="7">ROUND(I14*F14,2)</f>
        <v>140</v>
      </c>
      <c r="O14" s="102">
        <f t="shared" ref="O14:O38" si="8">ROUND(J14*F14,2)</f>
        <v>795.81</v>
      </c>
      <c r="P14" s="102">
        <f t="shared" ref="P14:P38" si="9">ROUND(K14*F14,2)</f>
        <v>21</v>
      </c>
      <c r="Q14" s="103">
        <f t="shared" ref="Q14:Q38" si="10">SUM(N14:P14)</f>
        <v>956.81</v>
      </c>
    </row>
    <row r="15" spans="1:17" s="56" customFormat="1" ht="24.9">
      <c r="A15" s="279">
        <v>2</v>
      </c>
      <c r="B15" s="583"/>
      <c r="C15" s="280" t="s">
        <v>770</v>
      </c>
      <c r="D15" s="281" t="s">
        <v>771</v>
      </c>
      <c r="E15" s="282" t="s">
        <v>721</v>
      </c>
      <c r="F15" s="283">
        <v>1</v>
      </c>
      <c r="G15" s="314">
        <v>4.5</v>
      </c>
      <c r="H15" s="284">
        <v>10</v>
      </c>
      <c r="I15" s="275">
        <f>ROUND(G15*H15,2)</f>
        <v>45</v>
      </c>
      <c r="J15" s="275">
        <v>81.760000000000005</v>
      </c>
      <c r="K15" s="285">
        <f>I15*0.15</f>
        <v>6.75</v>
      </c>
      <c r="L15" s="102">
        <f t="shared" si="6"/>
        <v>133.51</v>
      </c>
      <c r="M15" s="50">
        <f t="shared" si="1"/>
        <v>4.5</v>
      </c>
      <c r="N15" s="102">
        <f t="shared" si="7"/>
        <v>45</v>
      </c>
      <c r="O15" s="102">
        <f t="shared" si="8"/>
        <v>81.760000000000005</v>
      </c>
      <c r="P15" s="102">
        <f t="shared" si="9"/>
        <v>6.75</v>
      </c>
      <c r="Q15" s="103">
        <f t="shared" si="10"/>
        <v>133.51</v>
      </c>
    </row>
    <row r="16" spans="1:17" s="56" customFormat="1">
      <c r="A16" s="279">
        <v>3</v>
      </c>
      <c r="B16" s="583"/>
      <c r="C16" s="280" t="s">
        <v>772</v>
      </c>
      <c r="D16" s="281" t="s">
        <v>773</v>
      </c>
      <c r="E16" s="282" t="s">
        <v>723</v>
      </c>
      <c r="F16" s="283">
        <v>1</v>
      </c>
      <c r="G16" s="314">
        <v>6.5</v>
      </c>
      <c r="H16" s="284">
        <v>10</v>
      </c>
      <c r="I16" s="275">
        <f>ROUND(G16*H16,2)</f>
        <v>65</v>
      </c>
      <c r="J16" s="275">
        <v>168.61</v>
      </c>
      <c r="K16" s="285">
        <f>I16*0.15</f>
        <v>9.75</v>
      </c>
      <c r="L16" s="102">
        <f t="shared" si="6"/>
        <v>243.36</v>
      </c>
      <c r="M16" s="50">
        <f t="shared" si="1"/>
        <v>6.5</v>
      </c>
      <c r="N16" s="102">
        <f t="shared" si="7"/>
        <v>65</v>
      </c>
      <c r="O16" s="102">
        <f t="shared" si="8"/>
        <v>168.61</v>
      </c>
      <c r="P16" s="102">
        <f t="shared" si="9"/>
        <v>9.75</v>
      </c>
      <c r="Q16" s="103">
        <f t="shared" si="10"/>
        <v>243.36</v>
      </c>
    </row>
    <row r="17" spans="1:17" s="56" customFormat="1">
      <c r="A17" s="279">
        <v>4</v>
      </c>
      <c r="B17" s="583"/>
      <c r="C17" s="280" t="s">
        <v>774</v>
      </c>
      <c r="D17" s="281" t="s">
        <v>775</v>
      </c>
      <c r="E17" s="282" t="s">
        <v>723</v>
      </c>
      <c r="F17" s="283">
        <v>2</v>
      </c>
      <c r="G17" s="314">
        <v>1.1000000000000001</v>
      </c>
      <c r="H17" s="284">
        <v>10</v>
      </c>
      <c r="I17" s="275">
        <f>ROUND(G17*H17,2)</f>
        <v>11</v>
      </c>
      <c r="J17" s="275">
        <v>31</v>
      </c>
      <c r="K17" s="285">
        <f>I17*0.15</f>
        <v>1.65</v>
      </c>
      <c r="L17" s="102">
        <f t="shared" si="6"/>
        <v>43.65</v>
      </c>
      <c r="M17" s="50">
        <f t="shared" si="1"/>
        <v>2.2000000000000002</v>
      </c>
      <c r="N17" s="102">
        <f t="shared" si="7"/>
        <v>22</v>
      </c>
      <c r="O17" s="102">
        <f t="shared" si="8"/>
        <v>62</v>
      </c>
      <c r="P17" s="102">
        <f t="shared" si="9"/>
        <v>3.3</v>
      </c>
      <c r="Q17" s="103">
        <f t="shared" si="10"/>
        <v>87.3</v>
      </c>
    </row>
    <row r="18" spans="1:17" s="56" customFormat="1">
      <c r="A18" s="737"/>
      <c r="B18" s="583"/>
      <c r="C18" s="287" t="s">
        <v>741</v>
      </c>
      <c r="D18" s="288"/>
      <c r="E18" s="287"/>
      <c r="F18" s="288"/>
      <c r="G18" s="314">
        <f>IFERROR(ROUND(I18/H18,2),0)</f>
        <v>0</v>
      </c>
      <c r="H18" s="275">
        <f>IF(I18&gt;0,5,0)</f>
        <v>0</v>
      </c>
      <c r="I18" s="316"/>
      <c r="J18" s="316"/>
      <c r="K18" s="316"/>
      <c r="L18" s="102">
        <f t="shared" si="6"/>
        <v>0</v>
      </c>
      <c r="M18" s="50">
        <f t="shared" si="1"/>
        <v>0</v>
      </c>
      <c r="N18" s="102">
        <f t="shared" si="7"/>
        <v>0</v>
      </c>
      <c r="O18" s="102">
        <f t="shared" si="8"/>
        <v>0</v>
      </c>
      <c r="P18" s="102">
        <f t="shared" si="9"/>
        <v>0</v>
      </c>
      <c r="Q18" s="103">
        <f t="shared" si="10"/>
        <v>0</v>
      </c>
    </row>
    <row r="19" spans="1:17" s="56" customFormat="1" ht="24.9">
      <c r="A19" s="279">
        <v>5</v>
      </c>
      <c r="B19" s="583"/>
      <c r="C19" s="280" t="s">
        <v>776</v>
      </c>
      <c r="D19" s="281" t="s">
        <v>777</v>
      </c>
      <c r="E19" s="282" t="s">
        <v>723</v>
      </c>
      <c r="F19" s="283">
        <v>130</v>
      </c>
      <c r="G19" s="314">
        <v>1.8</v>
      </c>
      <c r="H19" s="284">
        <v>10</v>
      </c>
      <c r="I19" s="275">
        <f t="shared" ref="I19:I26" si="11">ROUND(G19*H19,2)</f>
        <v>18</v>
      </c>
      <c r="J19" s="275">
        <v>34.979999999999997</v>
      </c>
      <c r="K19" s="285">
        <f t="shared" ref="K19:K26" si="12">I19*0.15</f>
        <v>2.6999999999999997</v>
      </c>
      <c r="L19" s="102">
        <f t="shared" si="6"/>
        <v>55.68</v>
      </c>
      <c r="M19" s="50">
        <f t="shared" si="1"/>
        <v>234</v>
      </c>
      <c r="N19" s="102">
        <f t="shared" si="7"/>
        <v>2340</v>
      </c>
      <c r="O19" s="102">
        <f t="shared" si="8"/>
        <v>4547.3999999999996</v>
      </c>
      <c r="P19" s="102">
        <f t="shared" si="9"/>
        <v>351</v>
      </c>
      <c r="Q19" s="103">
        <f t="shared" si="10"/>
        <v>7238.4</v>
      </c>
    </row>
    <row r="20" spans="1:17" s="56" customFormat="1" ht="24.9">
      <c r="A20" s="279">
        <v>6</v>
      </c>
      <c r="B20" s="583"/>
      <c r="C20" s="280" t="s">
        <v>778</v>
      </c>
      <c r="D20" s="281" t="s">
        <v>779</v>
      </c>
      <c r="E20" s="282" t="s">
        <v>723</v>
      </c>
      <c r="F20" s="283">
        <v>4</v>
      </c>
      <c r="G20" s="314">
        <v>1.8</v>
      </c>
      <c r="H20" s="284">
        <v>10</v>
      </c>
      <c r="I20" s="275">
        <f t="shared" si="11"/>
        <v>18</v>
      </c>
      <c r="J20" s="275">
        <v>28.03</v>
      </c>
      <c r="K20" s="285">
        <f t="shared" si="12"/>
        <v>2.6999999999999997</v>
      </c>
      <c r="L20" s="102">
        <f t="shared" si="6"/>
        <v>48.730000000000004</v>
      </c>
      <c r="M20" s="50">
        <f t="shared" si="1"/>
        <v>7.2</v>
      </c>
      <c r="N20" s="102">
        <f t="shared" si="7"/>
        <v>72</v>
      </c>
      <c r="O20" s="102">
        <f t="shared" si="8"/>
        <v>112.12</v>
      </c>
      <c r="P20" s="102">
        <f t="shared" si="9"/>
        <v>10.8</v>
      </c>
      <c r="Q20" s="103">
        <f t="shared" si="10"/>
        <v>194.92000000000002</v>
      </c>
    </row>
    <row r="21" spans="1:17" s="56" customFormat="1" ht="24.9">
      <c r="A21" s="279">
        <v>7</v>
      </c>
      <c r="B21" s="583"/>
      <c r="C21" s="280" t="s">
        <v>780</v>
      </c>
      <c r="D21" s="281" t="s">
        <v>781</v>
      </c>
      <c r="E21" s="282" t="s">
        <v>723</v>
      </c>
      <c r="F21" s="283">
        <f>F19+F20-F22</f>
        <v>102</v>
      </c>
      <c r="G21" s="314">
        <v>0.15</v>
      </c>
      <c r="H21" s="284">
        <v>10</v>
      </c>
      <c r="I21" s="275">
        <f t="shared" si="11"/>
        <v>1.5</v>
      </c>
      <c r="J21" s="275">
        <v>6.76</v>
      </c>
      <c r="K21" s="285">
        <f t="shared" si="12"/>
        <v>0.22499999999999998</v>
      </c>
      <c r="L21" s="102">
        <f t="shared" si="6"/>
        <v>8.4849999999999994</v>
      </c>
      <c r="M21" s="50">
        <f t="shared" si="1"/>
        <v>15.3</v>
      </c>
      <c r="N21" s="102">
        <f t="shared" si="7"/>
        <v>153</v>
      </c>
      <c r="O21" s="102">
        <f t="shared" si="8"/>
        <v>689.52</v>
      </c>
      <c r="P21" s="102">
        <f t="shared" si="9"/>
        <v>22.95</v>
      </c>
      <c r="Q21" s="103">
        <f t="shared" si="10"/>
        <v>865.47</v>
      </c>
    </row>
    <row r="22" spans="1:17" s="56" customFormat="1" ht="37.35">
      <c r="A22" s="279">
        <v>8</v>
      </c>
      <c r="B22" s="583"/>
      <c r="C22" s="280" t="s">
        <v>782</v>
      </c>
      <c r="D22" s="281" t="s">
        <v>783</v>
      </c>
      <c r="E22" s="282" t="s">
        <v>723</v>
      </c>
      <c r="F22" s="283">
        <v>32</v>
      </c>
      <c r="G22" s="314">
        <v>0.15</v>
      </c>
      <c r="H22" s="284">
        <v>10</v>
      </c>
      <c r="I22" s="275">
        <f t="shared" si="11"/>
        <v>1.5</v>
      </c>
      <c r="J22" s="275">
        <v>36.68</v>
      </c>
      <c r="K22" s="285">
        <f t="shared" si="12"/>
        <v>0.22499999999999998</v>
      </c>
      <c r="L22" s="102">
        <f t="shared" si="6"/>
        <v>38.405000000000001</v>
      </c>
      <c r="M22" s="50">
        <f t="shared" si="1"/>
        <v>4.8</v>
      </c>
      <c r="N22" s="102">
        <f t="shared" si="7"/>
        <v>48</v>
      </c>
      <c r="O22" s="102">
        <f t="shared" si="8"/>
        <v>1173.76</v>
      </c>
      <c r="P22" s="102">
        <f t="shared" si="9"/>
        <v>7.2</v>
      </c>
      <c r="Q22" s="103">
        <f t="shared" si="10"/>
        <v>1228.96</v>
      </c>
    </row>
    <row r="23" spans="1:17" s="56" customFormat="1" ht="24.9">
      <c r="A23" s="279">
        <v>9</v>
      </c>
      <c r="B23" s="583"/>
      <c r="C23" s="280" t="s">
        <v>784</v>
      </c>
      <c r="D23" s="281" t="s">
        <v>785</v>
      </c>
      <c r="E23" s="282" t="s">
        <v>721</v>
      </c>
      <c r="F23" s="283">
        <v>9</v>
      </c>
      <c r="G23" s="314">
        <v>1.8</v>
      </c>
      <c r="H23" s="284">
        <v>10</v>
      </c>
      <c r="I23" s="275">
        <f t="shared" si="11"/>
        <v>18</v>
      </c>
      <c r="J23" s="275">
        <v>28.65</v>
      </c>
      <c r="K23" s="285">
        <f t="shared" si="12"/>
        <v>2.6999999999999997</v>
      </c>
      <c r="L23" s="102">
        <f t="shared" si="6"/>
        <v>49.35</v>
      </c>
      <c r="M23" s="50">
        <f t="shared" si="1"/>
        <v>16.2</v>
      </c>
      <c r="N23" s="102">
        <f t="shared" si="7"/>
        <v>162</v>
      </c>
      <c r="O23" s="102">
        <f t="shared" si="8"/>
        <v>257.85000000000002</v>
      </c>
      <c r="P23" s="102">
        <f t="shared" si="9"/>
        <v>24.3</v>
      </c>
      <c r="Q23" s="103">
        <f t="shared" si="10"/>
        <v>444.15000000000003</v>
      </c>
    </row>
    <row r="24" spans="1:17" s="56" customFormat="1">
      <c r="A24" s="279">
        <v>10</v>
      </c>
      <c r="B24" s="583"/>
      <c r="C24" s="280" t="s">
        <v>786</v>
      </c>
      <c r="D24" s="281"/>
      <c r="E24" s="282" t="s">
        <v>723</v>
      </c>
      <c r="F24" s="283">
        <f>F23</f>
        <v>9</v>
      </c>
      <c r="G24" s="314">
        <v>0.15</v>
      </c>
      <c r="H24" s="284">
        <v>10</v>
      </c>
      <c r="I24" s="275">
        <f t="shared" si="11"/>
        <v>1.5</v>
      </c>
      <c r="J24" s="275">
        <v>4.9400000000000004</v>
      </c>
      <c r="K24" s="285">
        <f t="shared" si="12"/>
        <v>0.22499999999999998</v>
      </c>
      <c r="L24" s="102">
        <f t="shared" si="6"/>
        <v>6.665</v>
      </c>
      <c r="M24" s="50">
        <f t="shared" si="1"/>
        <v>1.35</v>
      </c>
      <c r="N24" s="102">
        <f t="shared" si="7"/>
        <v>13.5</v>
      </c>
      <c r="O24" s="102">
        <f t="shared" si="8"/>
        <v>44.46</v>
      </c>
      <c r="P24" s="102">
        <f t="shared" si="9"/>
        <v>2.0299999999999998</v>
      </c>
      <c r="Q24" s="103">
        <f t="shared" si="10"/>
        <v>59.99</v>
      </c>
    </row>
    <row r="25" spans="1:17" s="56" customFormat="1">
      <c r="A25" s="279">
        <v>11</v>
      </c>
      <c r="B25" s="583"/>
      <c r="C25" s="280" t="s">
        <v>787</v>
      </c>
      <c r="D25" s="281" t="s">
        <v>788</v>
      </c>
      <c r="E25" s="282" t="s">
        <v>721</v>
      </c>
      <c r="F25" s="283">
        <v>50</v>
      </c>
      <c r="G25" s="314">
        <v>3.5</v>
      </c>
      <c r="H25" s="284">
        <v>10</v>
      </c>
      <c r="I25" s="275">
        <f t="shared" si="11"/>
        <v>35</v>
      </c>
      <c r="J25" s="275">
        <v>42.35</v>
      </c>
      <c r="K25" s="285">
        <f t="shared" si="12"/>
        <v>5.25</v>
      </c>
      <c r="L25" s="102">
        <f t="shared" si="6"/>
        <v>82.6</v>
      </c>
      <c r="M25" s="50">
        <f t="shared" si="1"/>
        <v>175</v>
      </c>
      <c r="N25" s="102">
        <f t="shared" si="7"/>
        <v>1750</v>
      </c>
      <c r="O25" s="102">
        <f t="shared" si="8"/>
        <v>2117.5</v>
      </c>
      <c r="P25" s="102">
        <f t="shared" si="9"/>
        <v>262.5</v>
      </c>
      <c r="Q25" s="103">
        <f t="shared" si="10"/>
        <v>4130</v>
      </c>
    </row>
    <row r="26" spans="1:17" s="56" customFormat="1" ht="24.9">
      <c r="A26" s="279">
        <v>12</v>
      </c>
      <c r="B26" s="583"/>
      <c r="C26" s="280" t="s">
        <v>789</v>
      </c>
      <c r="D26" s="281" t="s">
        <v>790</v>
      </c>
      <c r="E26" s="282" t="s">
        <v>723</v>
      </c>
      <c r="F26" s="283">
        <v>18</v>
      </c>
      <c r="G26" s="314">
        <v>1.6</v>
      </c>
      <c r="H26" s="284">
        <v>10</v>
      </c>
      <c r="I26" s="275">
        <f t="shared" si="11"/>
        <v>16</v>
      </c>
      <c r="J26" s="275">
        <v>38.78</v>
      </c>
      <c r="K26" s="285">
        <f t="shared" si="12"/>
        <v>2.4</v>
      </c>
      <c r="L26" s="102">
        <f t="shared" si="6"/>
        <v>57.18</v>
      </c>
      <c r="M26" s="50">
        <f t="shared" si="1"/>
        <v>28.8</v>
      </c>
      <c r="N26" s="102">
        <f t="shared" si="7"/>
        <v>288</v>
      </c>
      <c r="O26" s="102">
        <f t="shared" si="8"/>
        <v>698.04</v>
      </c>
      <c r="P26" s="102">
        <f t="shared" si="9"/>
        <v>43.2</v>
      </c>
      <c r="Q26" s="103">
        <f t="shared" si="10"/>
        <v>1029.24</v>
      </c>
    </row>
    <row r="27" spans="1:17" s="56" customFormat="1">
      <c r="A27" s="279">
        <v>13</v>
      </c>
      <c r="B27" s="583"/>
      <c r="C27" s="280" t="s">
        <v>791</v>
      </c>
      <c r="D27" s="281"/>
      <c r="E27" s="282" t="s">
        <v>723</v>
      </c>
      <c r="F27" s="283">
        <v>1</v>
      </c>
      <c r="G27" s="314">
        <v>1.6</v>
      </c>
      <c r="H27" s="284">
        <v>10</v>
      </c>
      <c r="I27" s="275">
        <f>ROUND(G27*H27,2)</f>
        <v>16</v>
      </c>
      <c r="J27" s="275">
        <v>73.959999999999994</v>
      </c>
      <c r="K27" s="285">
        <f>I27*0.15</f>
        <v>2.4</v>
      </c>
      <c r="L27" s="102">
        <f t="shared" si="6"/>
        <v>92.36</v>
      </c>
      <c r="M27" s="50">
        <f t="shared" si="1"/>
        <v>1.6</v>
      </c>
      <c r="N27" s="102">
        <f t="shared" si="7"/>
        <v>16</v>
      </c>
      <c r="O27" s="102">
        <f t="shared" si="8"/>
        <v>73.959999999999994</v>
      </c>
      <c r="P27" s="102">
        <f t="shared" si="9"/>
        <v>2.4</v>
      </c>
      <c r="Q27" s="103">
        <f t="shared" si="10"/>
        <v>92.36</v>
      </c>
    </row>
    <row r="28" spans="1:17" s="56" customFormat="1">
      <c r="A28" s="279">
        <v>14</v>
      </c>
      <c r="B28" s="583"/>
      <c r="C28" s="289" t="s">
        <v>792</v>
      </c>
      <c r="D28" s="281"/>
      <c r="E28" s="282" t="s">
        <v>723</v>
      </c>
      <c r="F28" s="283">
        <v>54</v>
      </c>
      <c r="G28" s="314">
        <v>0.6</v>
      </c>
      <c r="H28" s="284">
        <v>10</v>
      </c>
      <c r="I28" s="275">
        <f>ROUND(G28*H28,2)</f>
        <v>6</v>
      </c>
      <c r="J28" s="275">
        <v>10.96</v>
      </c>
      <c r="K28" s="285">
        <f>I28*0.15</f>
        <v>0.89999999999999991</v>
      </c>
      <c r="L28" s="102">
        <f t="shared" si="6"/>
        <v>17.86</v>
      </c>
      <c r="M28" s="50">
        <f t="shared" si="1"/>
        <v>32.4</v>
      </c>
      <c r="N28" s="102">
        <f t="shared" si="7"/>
        <v>324</v>
      </c>
      <c r="O28" s="102">
        <f t="shared" si="8"/>
        <v>591.84</v>
      </c>
      <c r="P28" s="102">
        <f t="shared" si="9"/>
        <v>48.6</v>
      </c>
      <c r="Q28" s="103">
        <f t="shared" si="10"/>
        <v>964.44</v>
      </c>
    </row>
    <row r="29" spans="1:17" s="56" customFormat="1">
      <c r="A29" s="737"/>
      <c r="B29" s="583"/>
      <c r="C29" s="287" t="s">
        <v>793</v>
      </c>
      <c r="D29" s="288"/>
      <c r="E29" s="287"/>
      <c r="F29" s="288"/>
      <c r="G29" s="314">
        <f>IFERROR(ROUND(I29/H29,2),0)</f>
        <v>0</v>
      </c>
      <c r="H29" s="275">
        <f>IF(I29&gt;0,5,0)</f>
        <v>0</v>
      </c>
      <c r="I29" s="316"/>
      <c r="J29" s="316"/>
      <c r="K29" s="316"/>
      <c r="L29" s="102">
        <f t="shared" si="6"/>
        <v>0</v>
      </c>
      <c r="M29" s="50">
        <f t="shared" si="1"/>
        <v>0</v>
      </c>
      <c r="N29" s="102">
        <f t="shared" si="7"/>
        <v>0</v>
      </c>
      <c r="O29" s="102">
        <f t="shared" si="8"/>
        <v>0</v>
      </c>
      <c r="P29" s="102">
        <f t="shared" si="9"/>
        <v>0</v>
      </c>
      <c r="Q29" s="103">
        <f t="shared" si="10"/>
        <v>0</v>
      </c>
    </row>
    <row r="30" spans="1:17" s="56" customFormat="1" ht="37.35">
      <c r="A30" s="279">
        <v>15</v>
      </c>
      <c r="B30" s="583"/>
      <c r="C30" s="280" t="s">
        <v>794</v>
      </c>
      <c r="D30" s="281" t="s">
        <v>795</v>
      </c>
      <c r="E30" s="282" t="s">
        <v>111</v>
      </c>
      <c r="F30" s="283">
        <v>300</v>
      </c>
      <c r="G30" s="314">
        <v>0.05</v>
      </c>
      <c r="H30" s="284">
        <v>10</v>
      </c>
      <c r="I30" s="275">
        <f t="shared" ref="I30:I38" si="13">ROUND(G30*H30,2)</f>
        <v>0.5</v>
      </c>
      <c r="J30" s="275">
        <v>0.4</v>
      </c>
      <c r="K30" s="285">
        <f t="shared" ref="K30:K38" si="14">I30*0.15</f>
        <v>7.4999999999999997E-2</v>
      </c>
      <c r="L30" s="102">
        <f t="shared" si="6"/>
        <v>0.97499999999999998</v>
      </c>
      <c r="M30" s="50">
        <f t="shared" si="1"/>
        <v>15</v>
      </c>
      <c r="N30" s="102">
        <f t="shared" si="7"/>
        <v>150</v>
      </c>
      <c r="O30" s="102">
        <f t="shared" si="8"/>
        <v>120</v>
      </c>
      <c r="P30" s="102">
        <f t="shared" si="9"/>
        <v>22.5</v>
      </c>
      <c r="Q30" s="103">
        <f t="shared" si="10"/>
        <v>292.5</v>
      </c>
    </row>
    <row r="31" spans="1:17" s="56" customFormat="1" ht="24.9">
      <c r="A31" s="279">
        <v>16</v>
      </c>
      <c r="B31" s="583"/>
      <c r="C31" s="280" t="s">
        <v>796</v>
      </c>
      <c r="D31" s="281" t="s">
        <v>797</v>
      </c>
      <c r="E31" s="282" t="s">
        <v>111</v>
      </c>
      <c r="F31" s="283">
        <v>2100</v>
      </c>
      <c r="G31" s="314">
        <v>0.05</v>
      </c>
      <c r="H31" s="284">
        <v>10</v>
      </c>
      <c r="I31" s="275">
        <f t="shared" si="13"/>
        <v>0.5</v>
      </c>
      <c r="J31" s="275">
        <v>0.68</v>
      </c>
      <c r="K31" s="285">
        <f t="shared" si="14"/>
        <v>7.4999999999999997E-2</v>
      </c>
      <c r="L31" s="102">
        <f t="shared" si="6"/>
        <v>1.2550000000000001</v>
      </c>
      <c r="M31" s="50">
        <f t="shared" si="1"/>
        <v>105</v>
      </c>
      <c r="N31" s="102">
        <f t="shared" si="7"/>
        <v>1050</v>
      </c>
      <c r="O31" s="102">
        <f t="shared" si="8"/>
        <v>1428</v>
      </c>
      <c r="P31" s="102">
        <f t="shared" si="9"/>
        <v>157.5</v>
      </c>
      <c r="Q31" s="103">
        <f t="shared" si="10"/>
        <v>2635.5</v>
      </c>
    </row>
    <row r="32" spans="1:17" s="56" customFormat="1" ht="24.9">
      <c r="A32" s="279">
        <v>17</v>
      </c>
      <c r="B32" s="583"/>
      <c r="C32" s="280" t="s">
        <v>798</v>
      </c>
      <c r="D32" s="281" t="s">
        <v>799</v>
      </c>
      <c r="E32" s="282" t="s">
        <v>111</v>
      </c>
      <c r="F32" s="283">
        <v>200</v>
      </c>
      <c r="G32" s="314">
        <v>0.05</v>
      </c>
      <c r="H32" s="284">
        <v>10</v>
      </c>
      <c r="I32" s="275">
        <f t="shared" si="13"/>
        <v>0.5</v>
      </c>
      <c r="J32" s="275">
        <v>2.4500000000000002</v>
      </c>
      <c r="K32" s="285">
        <f t="shared" si="14"/>
        <v>7.4999999999999997E-2</v>
      </c>
      <c r="L32" s="102">
        <f t="shared" si="6"/>
        <v>3.0250000000000004</v>
      </c>
      <c r="M32" s="50">
        <f t="shared" si="1"/>
        <v>10</v>
      </c>
      <c r="N32" s="102">
        <f t="shared" si="7"/>
        <v>100</v>
      </c>
      <c r="O32" s="102">
        <f t="shared" si="8"/>
        <v>490</v>
      </c>
      <c r="P32" s="102">
        <f t="shared" si="9"/>
        <v>15</v>
      </c>
      <c r="Q32" s="103">
        <f t="shared" si="10"/>
        <v>605</v>
      </c>
    </row>
    <row r="33" spans="1:17" s="56" customFormat="1">
      <c r="A33" s="279">
        <v>18</v>
      </c>
      <c r="B33" s="583"/>
      <c r="C33" s="280" t="s">
        <v>800</v>
      </c>
      <c r="D33" s="283"/>
      <c r="E33" s="283" t="s">
        <v>111</v>
      </c>
      <c r="F33" s="283">
        <v>450</v>
      </c>
      <c r="G33" s="314">
        <v>0.1</v>
      </c>
      <c r="H33" s="284">
        <v>10</v>
      </c>
      <c r="I33" s="275">
        <f t="shared" si="13"/>
        <v>1</v>
      </c>
      <c r="J33" s="275">
        <v>0.31</v>
      </c>
      <c r="K33" s="285">
        <f t="shared" si="14"/>
        <v>0.15</v>
      </c>
      <c r="L33" s="102">
        <f t="shared" si="6"/>
        <v>1.46</v>
      </c>
      <c r="M33" s="50">
        <f t="shared" si="1"/>
        <v>45</v>
      </c>
      <c r="N33" s="102">
        <f t="shared" si="7"/>
        <v>450</v>
      </c>
      <c r="O33" s="102">
        <f t="shared" si="8"/>
        <v>139.5</v>
      </c>
      <c r="P33" s="102">
        <f t="shared" si="9"/>
        <v>67.5</v>
      </c>
      <c r="Q33" s="103">
        <f t="shared" si="10"/>
        <v>657</v>
      </c>
    </row>
    <row r="34" spans="1:17" s="56" customFormat="1">
      <c r="A34" s="279">
        <v>19</v>
      </c>
      <c r="B34" s="583"/>
      <c r="C34" s="280" t="s">
        <v>801</v>
      </c>
      <c r="D34" s="283"/>
      <c r="E34" s="283"/>
      <c r="F34" s="283">
        <v>480</v>
      </c>
      <c r="G34" s="314">
        <v>0.6</v>
      </c>
      <c r="H34" s="284">
        <v>10</v>
      </c>
      <c r="I34" s="275">
        <f t="shared" si="13"/>
        <v>6</v>
      </c>
      <c r="J34" s="275">
        <v>0.59</v>
      </c>
      <c r="K34" s="285">
        <f t="shared" si="14"/>
        <v>0.89999999999999991</v>
      </c>
      <c r="L34" s="102">
        <f t="shared" si="6"/>
        <v>7.49</v>
      </c>
      <c r="M34" s="50">
        <f t="shared" si="1"/>
        <v>288</v>
      </c>
      <c r="N34" s="102">
        <f t="shared" si="7"/>
        <v>2880</v>
      </c>
      <c r="O34" s="102">
        <f t="shared" si="8"/>
        <v>283.2</v>
      </c>
      <c r="P34" s="102">
        <f t="shared" si="9"/>
        <v>432</v>
      </c>
      <c r="Q34" s="103">
        <f t="shared" si="10"/>
        <v>3595.2</v>
      </c>
    </row>
    <row r="35" spans="1:17" s="56" customFormat="1">
      <c r="A35" s="279">
        <v>20</v>
      </c>
      <c r="B35" s="583"/>
      <c r="C35" s="280" t="s">
        <v>802</v>
      </c>
      <c r="D35" s="283"/>
      <c r="E35" s="283"/>
      <c r="F35" s="283">
        <v>260</v>
      </c>
      <c r="G35" s="314">
        <v>0.6</v>
      </c>
      <c r="H35" s="284">
        <v>10</v>
      </c>
      <c r="I35" s="275">
        <f t="shared" si="13"/>
        <v>6</v>
      </c>
      <c r="J35" s="275">
        <v>2.95</v>
      </c>
      <c r="K35" s="285">
        <f t="shared" si="14"/>
        <v>0.89999999999999991</v>
      </c>
      <c r="L35" s="102">
        <f t="shared" si="6"/>
        <v>9.85</v>
      </c>
      <c r="M35" s="50">
        <f t="shared" si="1"/>
        <v>156</v>
      </c>
      <c r="N35" s="102">
        <f t="shared" si="7"/>
        <v>1560</v>
      </c>
      <c r="O35" s="102">
        <f t="shared" si="8"/>
        <v>767</v>
      </c>
      <c r="P35" s="102">
        <f t="shared" si="9"/>
        <v>234</v>
      </c>
      <c r="Q35" s="103">
        <f t="shared" si="10"/>
        <v>2561</v>
      </c>
    </row>
    <row r="36" spans="1:17" s="56" customFormat="1">
      <c r="A36" s="279">
        <v>21</v>
      </c>
      <c r="B36" s="583"/>
      <c r="C36" s="280" t="s">
        <v>803</v>
      </c>
      <c r="D36" s="283"/>
      <c r="E36" s="283" t="s">
        <v>721</v>
      </c>
      <c r="F36" s="283">
        <v>1</v>
      </c>
      <c r="G36" s="314"/>
      <c r="H36" s="284"/>
      <c r="I36" s="275">
        <f t="shared" si="13"/>
        <v>0</v>
      </c>
      <c r="J36" s="275">
        <v>2507</v>
      </c>
      <c r="K36" s="285">
        <f t="shared" si="14"/>
        <v>0</v>
      </c>
      <c r="L36" s="102">
        <f t="shared" si="6"/>
        <v>2507</v>
      </c>
      <c r="M36" s="50">
        <f t="shared" si="1"/>
        <v>0</v>
      </c>
      <c r="N36" s="102">
        <f t="shared" si="7"/>
        <v>0</v>
      </c>
      <c r="O36" s="102">
        <f t="shared" si="8"/>
        <v>2507</v>
      </c>
      <c r="P36" s="102">
        <f t="shared" si="9"/>
        <v>0</v>
      </c>
      <c r="Q36" s="103">
        <f t="shared" si="10"/>
        <v>2507</v>
      </c>
    </row>
    <row r="37" spans="1:17" s="56" customFormat="1">
      <c r="A37" s="279">
        <v>22</v>
      </c>
      <c r="B37" s="583"/>
      <c r="C37" s="280" t="s">
        <v>804</v>
      </c>
      <c r="D37" s="283"/>
      <c r="E37" s="283" t="s">
        <v>805</v>
      </c>
      <c r="F37" s="283">
        <v>10</v>
      </c>
      <c r="G37" s="314">
        <v>0.3</v>
      </c>
      <c r="H37" s="284">
        <v>10</v>
      </c>
      <c r="I37" s="275">
        <f t="shared" si="13"/>
        <v>3</v>
      </c>
      <c r="J37" s="275"/>
      <c r="K37" s="285">
        <f t="shared" si="14"/>
        <v>0.44999999999999996</v>
      </c>
      <c r="L37" s="102">
        <f t="shared" si="6"/>
        <v>3.45</v>
      </c>
      <c r="M37" s="50">
        <f t="shared" si="1"/>
        <v>3</v>
      </c>
      <c r="N37" s="102">
        <f t="shared" si="7"/>
        <v>30</v>
      </c>
      <c r="O37" s="102">
        <f t="shared" si="8"/>
        <v>0</v>
      </c>
      <c r="P37" s="102">
        <f t="shared" si="9"/>
        <v>4.5</v>
      </c>
      <c r="Q37" s="103">
        <f t="shared" si="10"/>
        <v>34.5</v>
      </c>
    </row>
    <row r="38" spans="1:17" s="56" customFormat="1" ht="24.9">
      <c r="A38" s="279">
        <v>23</v>
      </c>
      <c r="B38" s="583"/>
      <c r="C38" s="280" t="s">
        <v>765</v>
      </c>
      <c r="D38" s="281" t="s">
        <v>766</v>
      </c>
      <c r="E38" s="283" t="s">
        <v>721</v>
      </c>
      <c r="F38" s="283">
        <v>1</v>
      </c>
      <c r="G38" s="314">
        <v>1.5</v>
      </c>
      <c r="H38" s="284">
        <v>10</v>
      </c>
      <c r="I38" s="275">
        <f t="shared" si="13"/>
        <v>15</v>
      </c>
      <c r="J38" s="275">
        <v>28</v>
      </c>
      <c r="K38" s="285">
        <f t="shared" si="14"/>
        <v>2.25</v>
      </c>
      <c r="L38" s="102">
        <f t="shared" si="6"/>
        <v>45.25</v>
      </c>
      <c r="M38" s="50">
        <f t="shared" si="1"/>
        <v>1.5</v>
      </c>
      <c r="N38" s="102">
        <f t="shared" si="7"/>
        <v>15</v>
      </c>
      <c r="O38" s="102">
        <f t="shared" si="8"/>
        <v>28</v>
      </c>
      <c r="P38" s="102">
        <f t="shared" si="9"/>
        <v>2.25</v>
      </c>
      <c r="Q38" s="103">
        <f t="shared" si="10"/>
        <v>45.25</v>
      </c>
    </row>
    <row r="39" spans="1:17" s="56" customFormat="1" ht="15.05">
      <c r="A39" s="290"/>
      <c r="B39" s="291"/>
      <c r="C39" s="292"/>
      <c r="D39" s="292"/>
      <c r="E39" s="293"/>
      <c r="F39" s="294"/>
      <c r="G39" s="295"/>
      <c r="H39" s="295"/>
      <c r="I39" s="230"/>
      <c r="J39" s="230"/>
      <c r="K39" s="230"/>
      <c r="L39" s="296"/>
      <c r="M39" s="297"/>
      <c r="N39" s="296"/>
      <c r="O39" s="296"/>
      <c r="P39" s="296"/>
      <c r="Q39" s="298"/>
    </row>
    <row r="40" spans="1:17" ht="15.05" customHeight="1">
      <c r="A40" s="206"/>
      <c r="B40" s="206"/>
      <c r="C40" s="951" t="s">
        <v>99</v>
      </c>
      <c r="D40" s="951"/>
      <c r="E40" s="952"/>
      <c r="F40" s="952"/>
      <c r="G40" s="952"/>
      <c r="H40" s="952"/>
      <c r="I40" s="952"/>
      <c r="J40" s="952"/>
      <c r="K40" s="952"/>
      <c r="L40" s="952"/>
      <c r="M40" s="208">
        <f>SUM(M13:M39)</f>
        <v>1167.3499999999999</v>
      </c>
      <c r="N40" s="208">
        <f>SUM(N13:N39)</f>
        <v>11673.5</v>
      </c>
      <c r="O40" s="208">
        <f>SUM(O13:O39)</f>
        <v>17177.330000000002</v>
      </c>
      <c r="P40" s="208">
        <f>SUM(P13:P39)</f>
        <v>1751.03</v>
      </c>
      <c r="Q40" s="208">
        <f>SUM(Q13:Q39)</f>
        <v>30601.86</v>
      </c>
    </row>
    <row r="41" spans="1:17" s="125" customFormat="1">
      <c r="J41" s="146"/>
    </row>
    <row r="42" spans="1:17" s="122" customFormat="1" ht="12.8" customHeight="1">
      <c r="B42" s="147" t="s">
        <v>54</v>
      </c>
    </row>
    <row r="43" spans="1:17" s="122" customFormat="1" ht="45" customHeight="1">
      <c r="A43"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43" s="926"/>
      <c r="C43" s="926"/>
      <c r="D43" s="926"/>
      <c r="E43" s="926"/>
      <c r="F43" s="926"/>
      <c r="G43" s="926"/>
      <c r="H43" s="926"/>
      <c r="I43" s="926"/>
      <c r="J43" s="926"/>
      <c r="K43" s="926"/>
      <c r="L43" s="926"/>
      <c r="M43" s="926"/>
      <c r="N43" s="926"/>
      <c r="O43" s="926"/>
      <c r="P43" s="926"/>
      <c r="Q43" s="926"/>
    </row>
    <row r="44" spans="1:17" s="122" customFormat="1" ht="76.75" customHeight="1">
      <c r="A44" s="925"/>
      <c r="B44" s="925"/>
      <c r="C44" s="925"/>
      <c r="D44" s="925"/>
      <c r="E44" s="925"/>
      <c r="F44" s="925"/>
      <c r="G44" s="925"/>
      <c r="H44" s="925"/>
      <c r="I44" s="925"/>
      <c r="J44" s="925"/>
      <c r="K44" s="925"/>
      <c r="L44" s="925"/>
      <c r="M44" s="925"/>
      <c r="N44" s="925"/>
      <c r="O44" s="925"/>
      <c r="P44" s="925"/>
      <c r="Q44" s="925"/>
    </row>
    <row r="45" spans="1:17" s="122" customFormat="1" ht="12.8" customHeight="1">
      <c r="B45" s="148"/>
    </row>
    <row r="46" spans="1:17" s="122" customFormat="1" ht="12.8" customHeight="1">
      <c r="B46" s="148"/>
    </row>
    <row r="47" spans="1:17" s="125" customFormat="1">
      <c r="B47" s="125" t="s">
        <v>8</v>
      </c>
      <c r="M47" s="157" t="str">
        <f>Koptame!B39</f>
        <v>Pārbaudīja:</v>
      </c>
      <c r="N47" s="157"/>
      <c r="O47" s="157"/>
      <c r="P47" s="157"/>
      <c r="Q47" s="157"/>
    </row>
    <row r="48" spans="1:17" s="125" customFormat="1">
      <c r="C48" s="175" t="str">
        <f>Koptame!C34</f>
        <v>Arnis Gailītis</v>
      </c>
      <c r="D48" s="191"/>
      <c r="M48" s="175"/>
      <c r="N48" s="922" t="str">
        <f>Koptame!C40</f>
        <v>Dzintra Cīrule</v>
      </c>
      <c r="O48" s="922"/>
      <c r="P48" s="157"/>
      <c r="Q48" s="157"/>
    </row>
    <row r="49" spans="2:17" s="125" customFormat="1">
      <c r="C49" s="176" t="str">
        <f>Koptame!C35</f>
        <v>Sertifikāta Nr.20-5643</v>
      </c>
      <c r="D49" s="192"/>
      <c r="M49" s="176"/>
      <c r="N49" s="923" t="str">
        <f>Koptame!C41</f>
        <v>Sertifikāta Nr.10-0363</v>
      </c>
      <c r="O49" s="923"/>
      <c r="P49" s="157"/>
      <c r="Q49" s="157"/>
    </row>
    <row r="50" spans="2:17" s="125" customFormat="1" collapsed="1">
      <c r="B50" s="146"/>
      <c r="G50" s="146"/>
      <c r="H50" s="146"/>
    </row>
    <row r="51" spans="2:17">
      <c r="B51" s="56"/>
      <c r="G51" s="56"/>
      <c r="H51" s="56"/>
    </row>
    <row r="52" spans="2:17">
      <c r="B52" s="56"/>
      <c r="G52" s="56"/>
      <c r="H52" s="56"/>
    </row>
  </sheetData>
  <mergeCells count="18">
    <mergeCell ref="N49:O49"/>
    <mergeCell ref="G11:L11"/>
    <mergeCell ref="M11:Q11"/>
    <mergeCell ref="C40:L40"/>
    <mergeCell ref="N48:O48"/>
    <mergeCell ref="A44:Q44"/>
    <mergeCell ref="A43:Q43"/>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3"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34"/>
  <sheetViews>
    <sheetView showZeros="0" view="pageBreakPreview" zoomScale="90" zoomScaleNormal="100" zoomScaleSheetLayoutView="90" workbookViewId="0">
      <selection activeCell="L23" sqref="L23"/>
    </sheetView>
  </sheetViews>
  <sheetFormatPr defaultColWidth="9.125" defaultRowHeight="14.4"/>
  <cols>
    <col min="1" max="1" width="9" style="19" customWidth="1"/>
    <col min="2" max="2" width="9.375" style="19" customWidth="1"/>
    <col min="3" max="3" width="40.375" style="49" customWidth="1"/>
    <col min="4" max="4" width="21.375" style="4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C1" s="47"/>
      <c r="D1" s="47"/>
      <c r="F1" s="21"/>
      <c r="G1" s="21"/>
      <c r="H1" s="181" t="s">
        <v>92</v>
      </c>
      <c r="I1" s="111" t="str">
        <f>kops2!B31</f>
        <v>2,11</v>
      </c>
    </row>
    <row r="2" spans="1:17" s="24" customFormat="1">
      <c r="A2" s="919" t="str">
        <f>C13</f>
        <v xml:space="preserve">Videonovērošanas sistēmas iekārtas un ierīces </v>
      </c>
      <c r="B2" s="919"/>
      <c r="C2" s="919"/>
      <c r="D2" s="919"/>
      <c r="E2" s="919"/>
      <c r="F2" s="919"/>
      <c r="G2" s="919"/>
      <c r="H2" s="919"/>
      <c r="I2" s="919"/>
      <c r="J2" s="919"/>
      <c r="K2" s="919"/>
      <c r="L2" s="919"/>
      <c r="M2" s="919"/>
      <c r="N2" s="919"/>
      <c r="O2" s="919"/>
      <c r="P2" s="919"/>
      <c r="Q2" s="919"/>
    </row>
    <row r="3" spans="1:17">
      <c r="A3" s="20"/>
      <c r="B3" s="20"/>
      <c r="C3" s="48" t="s">
        <v>11</v>
      </c>
      <c r="D3" s="48"/>
      <c r="E3" s="921" t="str">
        <f>Koptame!C11</f>
        <v>Ražošanas ēka</v>
      </c>
      <c r="F3" s="921"/>
      <c r="G3" s="921"/>
      <c r="H3" s="921"/>
      <c r="I3" s="921"/>
      <c r="J3" s="921"/>
      <c r="K3" s="921"/>
      <c r="L3" s="921"/>
      <c r="M3" s="921"/>
      <c r="N3" s="921"/>
      <c r="O3" s="921"/>
      <c r="P3" s="921"/>
      <c r="Q3" s="921"/>
    </row>
    <row r="4" spans="1:17">
      <c r="A4" s="20"/>
      <c r="B4" s="20"/>
      <c r="C4" s="48" t="s">
        <v>12</v>
      </c>
      <c r="D4" s="48"/>
      <c r="E4" s="921" t="str">
        <f>Koptame!C12</f>
        <v>Ražošanas ēkas Nr.7 jaunbūve</v>
      </c>
      <c r="F4" s="921"/>
      <c r="G4" s="921"/>
      <c r="H4" s="921"/>
      <c r="I4" s="921"/>
      <c r="J4" s="921"/>
      <c r="K4" s="921"/>
      <c r="L4" s="921"/>
      <c r="M4" s="921"/>
      <c r="N4" s="921"/>
      <c r="O4" s="921"/>
      <c r="P4" s="921"/>
      <c r="Q4" s="921"/>
    </row>
    <row r="5" spans="1:17">
      <c r="A5" s="20"/>
      <c r="B5" s="20"/>
      <c r="C5" s="48" t="s">
        <v>13</v>
      </c>
      <c r="D5" s="48"/>
      <c r="E5" s="921" t="str">
        <f>Koptame!C13</f>
        <v>Ventspils, Ventspils Augsto tehnoloģiju parks</v>
      </c>
      <c r="F5" s="921"/>
      <c r="G5" s="921"/>
      <c r="H5" s="921"/>
      <c r="I5" s="921"/>
      <c r="J5" s="921"/>
      <c r="K5" s="921"/>
      <c r="L5" s="921"/>
      <c r="M5" s="921"/>
      <c r="N5" s="921"/>
      <c r="O5" s="921"/>
      <c r="P5" s="921"/>
      <c r="Q5" s="921"/>
    </row>
    <row r="6" spans="1:17">
      <c r="A6" s="20"/>
      <c r="B6" s="20"/>
      <c r="C6" s="48" t="str">
        <f>Koptame!B14</f>
        <v>Pasūtījuma Nr.</v>
      </c>
      <c r="D6" s="48"/>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Q22</f>
        <v>15395.699999999999</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30.95" customHeight="1">
      <c r="A13" s="209"/>
      <c r="B13" s="210">
        <v>0</v>
      </c>
      <c r="C13" s="949" t="str">
        <f>kops2!C31</f>
        <v xml:space="preserve">Videonovērošanas sistēmas iekārtas un ierīces </v>
      </c>
      <c r="D13" s="950"/>
      <c r="E13" s="212"/>
      <c r="F13" s="213"/>
      <c r="G13" s="251">
        <v>0</v>
      </c>
      <c r="H13" s="251">
        <v>0</v>
      </c>
      <c r="I13" s="216"/>
      <c r="J13" s="215"/>
      <c r="K13" s="215"/>
      <c r="L13" s="277">
        <f t="shared" ref="L13" si="0">SUM(I13:K13)</f>
        <v>0</v>
      </c>
      <c r="M13" s="251">
        <f t="shared" ref="M13:M20" si="1">ROUND(G13*F13,2)</f>
        <v>0</v>
      </c>
      <c r="N13" s="277">
        <f t="shared" ref="N13" si="2">ROUND(I13*F13,2)</f>
        <v>0</v>
      </c>
      <c r="O13" s="277">
        <f t="shared" ref="O13" si="3">ROUND(J13*F13,2)</f>
        <v>0</v>
      </c>
      <c r="P13" s="277">
        <f t="shared" ref="P13" si="4">ROUND(K13*F13,2)</f>
        <v>0</v>
      </c>
      <c r="Q13" s="278">
        <f t="shared" ref="Q13" si="5">SUM(N13:P13)</f>
        <v>0</v>
      </c>
    </row>
    <row r="14" spans="1:17" s="56" customFormat="1" ht="24.9">
      <c r="A14" s="299">
        <v>1</v>
      </c>
      <c r="B14" s="583"/>
      <c r="C14" s="300" t="s">
        <v>807</v>
      </c>
      <c r="D14" s="263" t="s">
        <v>808</v>
      </c>
      <c r="E14" s="264" t="s">
        <v>723</v>
      </c>
      <c r="F14" s="264">
        <v>24</v>
      </c>
      <c r="G14" s="312">
        <v>3.5</v>
      </c>
      <c r="H14" s="266">
        <v>10</v>
      </c>
      <c r="I14" s="222">
        <f t="shared" ref="I14:I20" si="6">ROUND(G14*H14,2)</f>
        <v>35</v>
      </c>
      <c r="J14" s="222">
        <v>168</v>
      </c>
      <c r="K14" s="268">
        <f>I14*0.15</f>
        <v>5.25</v>
      </c>
      <c r="L14" s="102">
        <f t="shared" ref="L14:L20" si="7">SUM(I14:K14)</f>
        <v>208.25</v>
      </c>
      <c r="M14" s="50">
        <f t="shared" si="1"/>
        <v>84</v>
      </c>
      <c r="N14" s="102">
        <f t="shared" ref="N14:N20" si="8">ROUND(I14*F14,2)</f>
        <v>840</v>
      </c>
      <c r="O14" s="102">
        <f t="shared" ref="O14:O20" si="9">ROUND(J14*F14,2)</f>
        <v>4032</v>
      </c>
      <c r="P14" s="102">
        <f t="shared" ref="P14:P20" si="10">ROUND(K14*F14,2)</f>
        <v>126</v>
      </c>
      <c r="Q14" s="103">
        <f t="shared" ref="Q14:Q20" si="11">SUM(N14:P14)</f>
        <v>4998</v>
      </c>
    </row>
    <row r="15" spans="1:17" s="56" customFormat="1" ht="24.9">
      <c r="A15" s="299">
        <v>2</v>
      </c>
      <c r="B15" s="583"/>
      <c r="C15" s="300" t="s">
        <v>809</v>
      </c>
      <c r="D15" s="263" t="s">
        <v>810</v>
      </c>
      <c r="E15" s="264" t="s">
        <v>723</v>
      </c>
      <c r="F15" s="264">
        <v>17</v>
      </c>
      <c r="G15" s="312">
        <v>4.5</v>
      </c>
      <c r="H15" s="266">
        <v>10</v>
      </c>
      <c r="I15" s="222">
        <f t="shared" si="6"/>
        <v>45</v>
      </c>
      <c r="J15" s="222">
        <v>185</v>
      </c>
      <c r="K15" s="268">
        <f t="shared" ref="K15:K20" si="12">I15*0.15</f>
        <v>6.75</v>
      </c>
      <c r="L15" s="102">
        <f t="shared" si="7"/>
        <v>236.75</v>
      </c>
      <c r="M15" s="50">
        <f t="shared" si="1"/>
        <v>76.5</v>
      </c>
      <c r="N15" s="102">
        <f t="shared" si="8"/>
        <v>765</v>
      </c>
      <c r="O15" s="102">
        <f t="shared" si="9"/>
        <v>3145</v>
      </c>
      <c r="P15" s="102">
        <f t="shared" si="10"/>
        <v>114.75</v>
      </c>
      <c r="Q15" s="103">
        <f t="shared" si="11"/>
        <v>4024.75</v>
      </c>
    </row>
    <row r="16" spans="1:17" s="56" customFormat="1">
      <c r="A16" s="299">
        <v>3</v>
      </c>
      <c r="B16" s="583"/>
      <c r="C16" s="738" t="s">
        <v>1690</v>
      </c>
      <c r="D16" s="738" t="s">
        <v>1691</v>
      </c>
      <c r="E16" s="739" t="s">
        <v>723</v>
      </c>
      <c r="F16" s="739">
        <v>1</v>
      </c>
      <c r="G16" s="644">
        <v>6</v>
      </c>
      <c r="H16" s="637">
        <v>10</v>
      </c>
      <c r="I16" s="640">
        <f t="shared" si="6"/>
        <v>60</v>
      </c>
      <c r="J16" s="363">
        <v>1499</v>
      </c>
      <c r="K16" s="377">
        <f t="shared" si="12"/>
        <v>9</v>
      </c>
      <c r="L16" s="102">
        <f t="shared" si="7"/>
        <v>1568</v>
      </c>
      <c r="M16" s="50">
        <f t="shared" ref="M16:M18" si="13">ROUND(G16*F16,2)</f>
        <v>6</v>
      </c>
      <c r="N16" s="102">
        <f t="shared" si="8"/>
        <v>60</v>
      </c>
      <c r="O16" s="102">
        <f t="shared" si="9"/>
        <v>1499</v>
      </c>
      <c r="P16" s="102">
        <f t="shared" si="10"/>
        <v>9</v>
      </c>
      <c r="Q16" s="103">
        <f t="shared" si="11"/>
        <v>1568</v>
      </c>
    </row>
    <row r="17" spans="1:17" s="56" customFormat="1">
      <c r="A17" s="299">
        <v>4</v>
      </c>
      <c r="B17" s="583"/>
      <c r="C17" s="300" t="s">
        <v>1692</v>
      </c>
      <c r="D17" s="300" t="s">
        <v>1693</v>
      </c>
      <c r="E17" s="264" t="s">
        <v>723</v>
      </c>
      <c r="F17" s="264">
        <v>1</v>
      </c>
      <c r="G17" s="644">
        <v>2.2000000000000002</v>
      </c>
      <c r="H17" s="637">
        <v>10</v>
      </c>
      <c r="I17" s="640">
        <f t="shared" si="6"/>
        <v>22</v>
      </c>
      <c r="J17" s="363">
        <v>160</v>
      </c>
      <c r="K17" s="377">
        <f t="shared" si="12"/>
        <v>3.3</v>
      </c>
      <c r="L17" s="102">
        <f t="shared" si="7"/>
        <v>185.3</v>
      </c>
      <c r="M17" s="50">
        <f t="shared" si="13"/>
        <v>2.2000000000000002</v>
      </c>
      <c r="N17" s="102">
        <f t="shared" si="8"/>
        <v>22</v>
      </c>
      <c r="O17" s="102">
        <f t="shared" si="9"/>
        <v>160</v>
      </c>
      <c r="P17" s="102">
        <f t="shared" si="10"/>
        <v>3.3</v>
      </c>
      <c r="Q17" s="103">
        <f t="shared" si="11"/>
        <v>185.3</v>
      </c>
    </row>
    <row r="18" spans="1:17" s="56" customFormat="1" ht="87.05">
      <c r="A18" s="261">
        <v>5</v>
      </c>
      <c r="B18" s="583"/>
      <c r="C18" s="300" t="s">
        <v>811</v>
      </c>
      <c r="D18" s="263" t="s">
        <v>812</v>
      </c>
      <c r="E18" s="264" t="s">
        <v>721</v>
      </c>
      <c r="F18" s="264">
        <v>1</v>
      </c>
      <c r="G18" s="267">
        <v>6</v>
      </c>
      <c r="H18" s="266">
        <v>10</v>
      </c>
      <c r="I18" s="222">
        <f t="shared" si="6"/>
        <v>60</v>
      </c>
      <c r="J18" s="222">
        <v>1884</v>
      </c>
      <c r="K18" s="268">
        <f t="shared" si="12"/>
        <v>9</v>
      </c>
      <c r="L18" s="102">
        <f t="shared" si="7"/>
        <v>1953</v>
      </c>
      <c r="M18" s="50">
        <f t="shared" si="13"/>
        <v>6</v>
      </c>
      <c r="N18" s="102">
        <f t="shared" si="8"/>
        <v>60</v>
      </c>
      <c r="O18" s="102">
        <f t="shared" si="9"/>
        <v>1884</v>
      </c>
      <c r="P18" s="102">
        <f t="shared" si="10"/>
        <v>9</v>
      </c>
      <c r="Q18" s="103">
        <f t="shared" si="11"/>
        <v>1953</v>
      </c>
    </row>
    <row r="19" spans="1:17" s="56" customFormat="1">
      <c r="A19" s="299">
        <v>6</v>
      </c>
      <c r="B19" s="583"/>
      <c r="C19" s="263" t="s">
        <v>813</v>
      </c>
      <c r="D19" s="263"/>
      <c r="E19" s="264" t="s">
        <v>721</v>
      </c>
      <c r="F19" s="264">
        <v>1</v>
      </c>
      <c r="G19" s="313"/>
      <c r="H19" s="266"/>
      <c r="I19" s="222">
        <f t="shared" si="6"/>
        <v>0</v>
      </c>
      <c r="J19" s="275">
        <v>2640</v>
      </c>
      <c r="K19" s="268">
        <f t="shared" si="12"/>
        <v>0</v>
      </c>
      <c r="L19" s="102">
        <f t="shared" si="7"/>
        <v>2640</v>
      </c>
      <c r="M19" s="50">
        <f t="shared" si="1"/>
        <v>0</v>
      </c>
      <c r="N19" s="102">
        <f t="shared" si="8"/>
        <v>0</v>
      </c>
      <c r="O19" s="102">
        <f t="shared" si="9"/>
        <v>2640</v>
      </c>
      <c r="P19" s="102">
        <f t="shared" si="10"/>
        <v>0</v>
      </c>
      <c r="Q19" s="103">
        <f t="shared" si="11"/>
        <v>2640</v>
      </c>
    </row>
    <row r="20" spans="1:17" s="56" customFormat="1">
      <c r="A20" s="299">
        <v>7</v>
      </c>
      <c r="B20" s="583"/>
      <c r="C20" s="263" t="s">
        <v>765</v>
      </c>
      <c r="D20" s="301" t="s">
        <v>766</v>
      </c>
      <c r="E20" s="272" t="s">
        <v>721</v>
      </c>
      <c r="F20" s="264">
        <v>1</v>
      </c>
      <c r="G20" s="313">
        <v>0.8</v>
      </c>
      <c r="H20" s="266">
        <v>10</v>
      </c>
      <c r="I20" s="222">
        <f t="shared" si="6"/>
        <v>8</v>
      </c>
      <c r="J20" s="222">
        <v>17.45</v>
      </c>
      <c r="K20" s="268">
        <f t="shared" si="12"/>
        <v>1.2</v>
      </c>
      <c r="L20" s="102">
        <f t="shared" si="7"/>
        <v>26.65</v>
      </c>
      <c r="M20" s="50">
        <f t="shared" si="1"/>
        <v>0.8</v>
      </c>
      <c r="N20" s="102">
        <f t="shared" si="8"/>
        <v>8</v>
      </c>
      <c r="O20" s="102">
        <f t="shared" si="9"/>
        <v>17.45</v>
      </c>
      <c r="P20" s="102">
        <f t="shared" si="10"/>
        <v>1.2</v>
      </c>
      <c r="Q20" s="103">
        <f t="shared" si="11"/>
        <v>26.65</v>
      </c>
    </row>
    <row r="21" spans="1:17">
      <c r="A21" s="225"/>
      <c r="B21" s="302"/>
      <c r="C21" s="227"/>
      <c r="D21" s="227"/>
      <c r="E21" s="228"/>
      <c r="F21" s="229"/>
      <c r="G21" s="229">
        <v>0</v>
      </c>
      <c r="H21" s="229">
        <v>0</v>
      </c>
      <c r="I21" s="230"/>
      <c r="J21" s="229"/>
      <c r="K21" s="229"/>
      <c r="L21" s="229"/>
      <c r="M21" s="229"/>
      <c r="N21" s="229"/>
      <c r="O21" s="229"/>
      <c r="P21" s="229"/>
      <c r="Q21" s="243"/>
    </row>
    <row r="22" spans="1:17" ht="15.05" customHeight="1">
      <c r="A22" s="206"/>
      <c r="B22" s="206"/>
      <c r="C22" s="951" t="s">
        <v>99</v>
      </c>
      <c r="D22" s="951"/>
      <c r="E22" s="952"/>
      <c r="F22" s="952"/>
      <c r="G22" s="952"/>
      <c r="H22" s="952"/>
      <c r="I22" s="952"/>
      <c r="J22" s="952"/>
      <c r="K22" s="952"/>
      <c r="L22" s="952"/>
      <c r="M22" s="208">
        <f>SUM(M13:M21)</f>
        <v>175.5</v>
      </c>
      <c r="N22" s="208">
        <f>SUM(N13:N21)</f>
        <v>1755</v>
      </c>
      <c r="O22" s="208">
        <f>SUM(O13:O21)</f>
        <v>13377.45</v>
      </c>
      <c r="P22" s="208">
        <f>SUM(P13:P21)</f>
        <v>263.25</v>
      </c>
      <c r="Q22" s="208">
        <f>SUM(Q13:Q21)</f>
        <v>15395.699999999999</v>
      </c>
    </row>
    <row r="23" spans="1:17" s="125" customFormat="1">
      <c r="J23" s="146"/>
    </row>
    <row r="24" spans="1:17" s="122" customFormat="1" ht="12.8" customHeight="1">
      <c r="B24" s="147" t="s">
        <v>54</v>
      </c>
    </row>
    <row r="25" spans="1:17" s="122" customFormat="1" ht="45" customHeight="1">
      <c r="A25"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5" s="926"/>
      <c r="C25" s="926"/>
      <c r="D25" s="926"/>
      <c r="E25" s="926"/>
      <c r="F25" s="926"/>
      <c r="G25" s="926"/>
      <c r="H25" s="926"/>
      <c r="I25" s="926"/>
      <c r="J25" s="926"/>
      <c r="K25" s="926"/>
      <c r="L25" s="926"/>
      <c r="M25" s="926"/>
      <c r="N25" s="926"/>
      <c r="O25" s="926"/>
      <c r="P25" s="926"/>
      <c r="Q25" s="926"/>
    </row>
    <row r="26" spans="1:17" s="122" customFormat="1" ht="76.75" customHeight="1">
      <c r="A26" s="925"/>
      <c r="B26" s="925"/>
      <c r="C26" s="925"/>
      <c r="D26" s="925"/>
      <c r="E26" s="925"/>
      <c r="F26" s="925"/>
      <c r="G26" s="925"/>
      <c r="H26" s="925"/>
      <c r="I26" s="925"/>
      <c r="J26" s="925"/>
      <c r="K26" s="925"/>
      <c r="L26" s="925"/>
      <c r="M26" s="925"/>
      <c r="N26" s="925"/>
      <c r="O26" s="925"/>
      <c r="P26" s="925"/>
      <c r="Q26" s="925"/>
    </row>
    <row r="27" spans="1:17" s="122" customFormat="1" ht="12.8" customHeight="1">
      <c r="B27" s="148"/>
    </row>
    <row r="28" spans="1:17" s="122" customFormat="1" ht="12.8" customHeight="1">
      <c r="B28" s="148"/>
    </row>
    <row r="29" spans="1:17" s="125" customFormat="1">
      <c r="B29" s="125" t="s">
        <v>8</v>
      </c>
      <c r="M29" s="157" t="str">
        <f>Koptame!B39</f>
        <v>Pārbaudīja:</v>
      </c>
      <c r="N29" s="157"/>
      <c r="O29" s="157"/>
      <c r="P29" s="157"/>
      <c r="Q29" s="157"/>
    </row>
    <row r="30" spans="1:17" s="125" customFormat="1">
      <c r="C30" s="175" t="str">
        <f>Koptame!C34</f>
        <v>Arnis Gailītis</v>
      </c>
      <c r="D30" s="191"/>
      <c r="M30" s="175"/>
      <c r="N30" s="922" t="str">
        <f>Koptame!C40</f>
        <v>Dzintra Cīrule</v>
      </c>
      <c r="O30" s="922"/>
      <c r="P30" s="157"/>
      <c r="Q30" s="157"/>
    </row>
    <row r="31" spans="1:17" s="125" customFormat="1">
      <c r="C31" s="176" t="str">
        <f>Koptame!C35</f>
        <v>Sertifikāta Nr.20-5643</v>
      </c>
      <c r="D31" s="192"/>
      <c r="M31" s="176"/>
      <c r="N31" s="923" t="str">
        <f>Koptame!C41</f>
        <v>Sertifikāta Nr.10-0363</v>
      </c>
      <c r="O31" s="923"/>
      <c r="P31" s="157"/>
      <c r="Q31" s="157"/>
    </row>
    <row r="32" spans="1:17" s="125" customFormat="1" collapsed="1">
      <c r="B32" s="146"/>
      <c r="G32" s="146"/>
      <c r="H32" s="146"/>
    </row>
    <row r="33" spans="2:8">
      <c r="B33" s="56"/>
      <c r="C33" s="19"/>
      <c r="D33" s="19"/>
      <c r="G33" s="56"/>
      <c r="H33" s="56"/>
    </row>
    <row r="34" spans="2:8">
      <c r="B34" s="56"/>
      <c r="C34" s="19"/>
      <c r="D34" s="19"/>
      <c r="G34" s="56"/>
      <c r="H34" s="56"/>
    </row>
  </sheetData>
  <mergeCells count="18">
    <mergeCell ref="N31:O31"/>
    <mergeCell ref="G11:L11"/>
    <mergeCell ref="M11:Q11"/>
    <mergeCell ref="C22:L22"/>
    <mergeCell ref="N30:O30"/>
    <mergeCell ref="A26:Q26"/>
    <mergeCell ref="A25:Q25"/>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60"/>
  <sheetViews>
    <sheetView showZeros="0" view="pageBreakPreview" topLeftCell="A21" zoomScale="90" zoomScaleNormal="100" zoomScaleSheetLayoutView="90" workbookViewId="0">
      <selection activeCell="Q49" sqref="Q49"/>
    </sheetView>
  </sheetViews>
  <sheetFormatPr defaultColWidth="9.125" defaultRowHeight="14.4"/>
  <cols>
    <col min="1" max="1" width="9" style="19" customWidth="1"/>
    <col min="2" max="2" width="9.375" style="19" customWidth="1"/>
    <col min="3" max="3" width="43.875" style="49" customWidth="1"/>
    <col min="4" max="4" width="20.375" style="4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C1" s="47"/>
      <c r="D1" s="47"/>
      <c r="F1" s="21"/>
      <c r="G1" s="21"/>
      <c r="H1" s="181" t="s">
        <v>92</v>
      </c>
      <c r="I1" s="110" t="str">
        <f>kops2!B32</f>
        <v>2,12</v>
      </c>
    </row>
    <row r="2" spans="1:17" s="24" customFormat="1">
      <c r="A2" s="919" t="str">
        <f>C13</f>
        <v>Sakaru sistēmas (datoru un telefonu tīkli)</v>
      </c>
      <c r="B2" s="919"/>
      <c r="C2" s="919"/>
      <c r="D2" s="919"/>
      <c r="E2" s="919"/>
      <c r="F2" s="919"/>
      <c r="G2" s="919"/>
      <c r="H2" s="919"/>
      <c r="I2" s="919"/>
      <c r="J2" s="919"/>
      <c r="K2" s="919"/>
      <c r="L2" s="919"/>
      <c r="M2" s="919"/>
      <c r="N2" s="919"/>
      <c r="O2" s="919"/>
      <c r="P2" s="919"/>
      <c r="Q2" s="919"/>
    </row>
    <row r="3" spans="1:17">
      <c r="A3" s="20"/>
      <c r="B3" s="20"/>
      <c r="C3" s="48" t="s">
        <v>11</v>
      </c>
      <c r="D3" s="48"/>
      <c r="E3" s="921" t="str">
        <f>Koptame!C11</f>
        <v>Ražošanas ēka</v>
      </c>
      <c r="F3" s="921"/>
      <c r="G3" s="921"/>
      <c r="H3" s="921"/>
      <c r="I3" s="921"/>
      <c r="J3" s="921"/>
      <c r="K3" s="921"/>
      <c r="L3" s="921"/>
      <c r="M3" s="921"/>
      <c r="N3" s="921"/>
      <c r="O3" s="921"/>
      <c r="P3" s="921"/>
      <c r="Q3" s="921"/>
    </row>
    <row r="4" spans="1:17">
      <c r="A4" s="20"/>
      <c r="B4" s="20"/>
      <c r="C4" s="48" t="s">
        <v>12</v>
      </c>
      <c r="D4" s="48"/>
      <c r="E4" s="921" t="str">
        <f>Koptame!C12</f>
        <v>Ražošanas ēkas Nr.7 jaunbūve</v>
      </c>
      <c r="F4" s="921"/>
      <c r="G4" s="921"/>
      <c r="H4" s="921"/>
      <c r="I4" s="921"/>
      <c r="J4" s="921"/>
      <c r="K4" s="921"/>
      <c r="L4" s="921"/>
      <c r="M4" s="921"/>
      <c r="N4" s="921"/>
      <c r="O4" s="921"/>
      <c r="P4" s="921"/>
      <c r="Q4" s="921"/>
    </row>
    <row r="5" spans="1:17">
      <c r="A5" s="20"/>
      <c r="B5" s="20"/>
      <c r="C5" s="48" t="s">
        <v>13</v>
      </c>
      <c r="D5" s="48"/>
      <c r="E5" s="921" t="str">
        <f>Koptame!C13</f>
        <v>Ventspils, Ventspils Augsto tehnoloģiju parks</v>
      </c>
      <c r="F5" s="921"/>
      <c r="G5" s="921"/>
      <c r="H5" s="921"/>
      <c r="I5" s="921"/>
      <c r="J5" s="921"/>
      <c r="K5" s="921"/>
      <c r="L5" s="921"/>
      <c r="M5" s="921"/>
      <c r="N5" s="921"/>
      <c r="O5" s="921"/>
      <c r="P5" s="921"/>
      <c r="Q5" s="921"/>
    </row>
    <row r="6" spans="1:17">
      <c r="A6" s="20"/>
      <c r="B6" s="20"/>
      <c r="C6" s="48" t="str">
        <f>Koptame!B14</f>
        <v>Pasūtījuma Nr.</v>
      </c>
      <c r="D6" s="48"/>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Q48</f>
        <v>20667.63</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4.5" customHeight="1">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26.2" customHeight="1">
      <c r="A13" s="209"/>
      <c r="B13" s="210">
        <v>0</v>
      </c>
      <c r="C13" s="949" t="str">
        <f>kops2!C32</f>
        <v>Sakaru sistēmas (datoru un telefonu tīkli)</v>
      </c>
      <c r="D13" s="950"/>
      <c r="E13" s="212"/>
      <c r="F13" s="213"/>
      <c r="G13" s="251">
        <v>0</v>
      </c>
      <c r="H13" s="251">
        <v>0</v>
      </c>
      <c r="I13" s="216"/>
      <c r="J13" s="215"/>
      <c r="K13" s="215"/>
      <c r="L13" s="277">
        <f t="shared" ref="L13" si="0">SUM(I13:K13)</f>
        <v>0</v>
      </c>
      <c r="M13" s="251">
        <f t="shared" ref="M13:M14" si="1">ROUND(G13*F13,2)</f>
        <v>0</v>
      </c>
      <c r="N13" s="277">
        <f t="shared" ref="N13" si="2">ROUND(I13*F13,2)</f>
        <v>0</v>
      </c>
      <c r="O13" s="277">
        <f t="shared" ref="O13" si="3">ROUND(J13*F13,2)</f>
        <v>0</v>
      </c>
      <c r="P13" s="277">
        <f t="shared" ref="P13" si="4">ROUND(K13*F13,2)</f>
        <v>0</v>
      </c>
      <c r="Q13" s="278">
        <f t="shared" ref="Q13" si="5">SUM(N13:P13)</f>
        <v>0</v>
      </c>
    </row>
    <row r="14" spans="1:17" s="56" customFormat="1" ht="28.15" customHeight="1">
      <c r="A14" s="303">
        <v>1</v>
      </c>
      <c r="B14" s="304"/>
      <c r="C14" s="305" t="s">
        <v>815</v>
      </c>
      <c r="D14" s="305" t="s">
        <v>816</v>
      </c>
      <c r="E14" s="306" t="s">
        <v>721</v>
      </c>
      <c r="F14" s="307">
        <v>3</v>
      </c>
      <c r="G14" s="275">
        <v>4.5</v>
      </c>
      <c r="H14" s="275">
        <v>10</v>
      </c>
      <c r="I14" s="316">
        <v>27</v>
      </c>
      <c r="J14" s="716">
        <v>485</v>
      </c>
      <c r="K14" s="316">
        <v>4.05</v>
      </c>
      <c r="L14" s="102">
        <f>SUM(I14:K14)</f>
        <v>516.04999999999995</v>
      </c>
      <c r="M14" s="50">
        <f t="shared" si="1"/>
        <v>13.5</v>
      </c>
      <c r="N14" s="102">
        <f>ROUND(I14*F14,2)</f>
        <v>81</v>
      </c>
      <c r="O14" s="102">
        <f>ROUND(J14*F14,2)</f>
        <v>1455</v>
      </c>
      <c r="P14" s="102">
        <f>ROUND(K14*F14,2)</f>
        <v>12.15</v>
      </c>
      <c r="Q14" s="103">
        <f>SUM(N14:P14)</f>
        <v>1548.15</v>
      </c>
    </row>
    <row r="15" spans="1:17" s="56" customFormat="1" ht="41.25" customHeight="1">
      <c r="A15" s="303">
        <v>2</v>
      </c>
      <c r="B15" s="304"/>
      <c r="C15" s="305" t="s">
        <v>815</v>
      </c>
      <c r="D15" s="305" t="s">
        <v>817</v>
      </c>
      <c r="E15" s="306" t="s">
        <v>721</v>
      </c>
      <c r="F15" s="307">
        <v>1</v>
      </c>
      <c r="G15" s="275">
        <v>4.5</v>
      </c>
      <c r="H15" s="275">
        <v>10</v>
      </c>
      <c r="I15" s="316">
        <v>27</v>
      </c>
      <c r="J15" s="716">
        <v>395</v>
      </c>
      <c r="K15" s="316">
        <v>4.05</v>
      </c>
      <c r="L15" s="102">
        <f t="shared" ref="L15:L46" si="6">SUM(I15:K15)</f>
        <v>426.05</v>
      </c>
      <c r="M15" s="50">
        <f t="shared" ref="M15:M46" si="7">ROUND(G15*F15,2)</f>
        <v>4.5</v>
      </c>
      <c r="N15" s="102">
        <f t="shared" ref="N15:N46" si="8">ROUND(I15*F15,2)</f>
        <v>27</v>
      </c>
      <c r="O15" s="102">
        <f t="shared" ref="O15:O46" si="9">ROUND(J15*F15,2)</f>
        <v>395</v>
      </c>
      <c r="P15" s="102">
        <f t="shared" ref="P15:P46" si="10">ROUND(K15*F15,2)</f>
        <v>4.05</v>
      </c>
      <c r="Q15" s="103">
        <f t="shared" ref="Q15:Q46" si="11">SUM(N15:P15)</f>
        <v>426.05</v>
      </c>
    </row>
    <row r="16" spans="1:17" s="56" customFormat="1">
      <c r="A16" s="303">
        <v>3</v>
      </c>
      <c r="B16" s="304"/>
      <c r="C16" s="305" t="s">
        <v>818</v>
      </c>
      <c r="D16" s="305"/>
      <c r="E16" s="306" t="s">
        <v>721</v>
      </c>
      <c r="F16" s="307">
        <v>4</v>
      </c>
      <c r="G16" s="275">
        <v>2.2000000000000002</v>
      </c>
      <c r="H16" s="275">
        <v>10</v>
      </c>
      <c r="I16" s="316">
        <v>13.2</v>
      </c>
      <c r="J16" s="316">
        <v>76.680000000000007</v>
      </c>
      <c r="K16" s="316">
        <v>1.9799999999999998</v>
      </c>
      <c r="L16" s="102">
        <f t="shared" si="6"/>
        <v>91.860000000000014</v>
      </c>
      <c r="M16" s="50">
        <f t="shared" si="7"/>
        <v>8.8000000000000007</v>
      </c>
      <c r="N16" s="102">
        <f t="shared" si="8"/>
        <v>52.8</v>
      </c>
      <c r="O16" s="102">
        <f t="shared" si="9"/>
        <v>306.72000000000003</v>
      </c>
      <c r="P16" s="102">
        <f t="shared" si="10"/>
        <v>7.92</v>
      </c>
      <c r="Q16" s="103">
        <f t="shared" si="11"/>
        <v>367.44000000000005</v>
      </c>
    </row>
    <row r="17" spans="1:17" s="56" customFormat="1">
      <c r="A17" s="303">
        <v>4</v>
      </c>
      <c r="B17" s="304"/>
      <c r="C17" s="305" t="s">
        <v>819</v>
      </c>
      <c r="D17" s="305"/>
      <c r="E17" s="306" t="s">
        <v>721</v>
      </c>
      <c r="F17" s="307">
        <v>4</v>
      </c>
      <c r="G17" s="275">
        <v>1.8</v>
      </c>
      <c r="H17" s="275">
        <v>10</v>
      </c>
      <c r="I17" s="316">
        <v>10.8</v>
      </c>
      <c r="J17" s="316">
        <v>22.77</v>
      </c>
      <c r="K17" s="316">
        <v>1.62</v>
      </c>
      <c r="L17" s="102">
        <f t="shared" si="6"/>
        <v>35.19</v>
      </c>
      <c r="M17" s="50">
        <f t="shared" si="7"/>
        <v>7.2</v>
      </c>
      <c r="N17" s="102">
        <f t="shared" si="8"/>
        <v>43.2</v>
      </c>
      <c r="O17" s="102">
        <f t="shared" si="9"/>
        <v>91.08</v>
      </c>
      <c r="P17" s="102">
        <f t="shared" si="10"/>
        <v>6.48</v>
      </c>
      <c r="Q17" s="103">
        <f t="shared" si="11"/>
        <v>140.76</v>
      </c>
    </row>
    <row r="18" spans="1:17" s="56" customFormat="1">
      <c r="A18" s="303">
        <v>5</v>
      </c>
      <c r="B18" s="304"/>
      <c r="C18" s="305" t="s">
        <v>820</v>
      </c>
      <c r="D18" s="305"/>
      <c r="E18" s="306" t="s">
        <v>721</v>
      </c>
      <c r="F18" s="307">
        <v>4</v>
      </c>
      <c r="G18" s="275">
        <v>0.2</v>
      </c>
      <c r="H18" s="275">
        <v>10</v>
      </c>
      <c r="I18" s="316">
        <v>1.2</v>
      </c>
      <c r="J18" s="316">
        <v>12.49</v>
      </c>
      <c r="K18" s="316">
        <v>0.18</v>
      </c>
      <c r="L18" s="102">
        <f t="shared" si="6"/>
        <v>13.87</v>
      </c>
      <c r="M18" s="50">
        <f t="shared" si="7"/>
        <v>0.8</v>
      </c>
      <c r="N18" s="102">
        <f t="shared" si="8"/>
        <v>4.8</v>
      </c>
      <c r="O18" s="102">
        <f t="shared" si="9"/>
        <v>49.96</v>
      </c>
      <c r="P18" s="102">
        <f t="shared" si="10"/>
        <v>0.72</v>
      </c>
      <c r="Q18" s="103">
        <f t="shared" si="11"/>
        <v>55.48</v>
      </c>
    </row>
    <row r="19" spans="1:17" s="56" customFormat="1">
      <c r="A19" s="303">
        <v>6</v>
      </c>
      <c r="B19" s="304"/>
      <c r="C19" s="305" t="s">
        <v>821</v>
      </c>
      <c r="D19" s="305"/>
      <c r="E19" s="306" t="s">
        <v>721</v>
      </c>
      <c r="F19" s="307">
        <v>7</v>
      </c>
      <c r="G19" s="275">
        <v>0.6</v>
      </c>
      <c r="H19" s="275">
        <v>10</v>
      </c>
      <c r="I19" s="316">
        <v>3.42</v>
      </c>
      <c r="J19" s="316">
        <v>23.48</v>
      </c>
      <c r="K19" s="316">
        <v>0.51300000000000001</v>
      </c>
      <c r="L19" s="102">
        <f t="shared" si="6"/>
        <v>27.413</v>
      </c>
      <c r="M19" s="50">
        <f t="shared" si="7"/>
        <v>4.2</v>
      </c>
      <c r="N19" s="102">
        <f t="shared" si="8"/>
        <v>23.94</v>
      </c>
      <c r="O19" s="102">
        <f t="shared" si="9"/>
        <v>164.36</v>
      </c>
      <c r="P19" s="102">
        <f t="shared" si="10"/>
        <v>3.59</v>
      </c>
      <c r="Q19" s="103">
        <f t="shared" si="11"/>
        <v>191.89000000000001</v>
      </c>
    </row>
    <row r="20" spans="1:17" s="56" customFormat="1" ht="24.9">
      <c r="A20" s="303">
        <v>7</v>
      </c>
      <c r="B20" s="304"/>
      <c r="C20" s="305" t="s">
        <v>822</v>
      </c>
      <c r="D20" s="305" t="s">
        <v>823</v>
      </c>
      <c r="E20" s="306" t="s">
        <v>723</v>
      </c>
      <c r="F20" s="307">
        <v>3</v>
      </c>
      <c r="G20" s="275">
        <v>4</v>
      </c>
      <c r="H20" s="275">
        <v>10</v>
      </c>
      <c r="I20" s="316">
        <v>22.8</v>
      </c>
      <c r="J20" s="316">
        <v>436</v>
      </c>
      <c r="K20" s="316">
        <v>3.42</v>
      </c>
      <c r="L20" s="102">
        <f t="shared" si="6"/>
        <v>462.22</v>
      </c>
      <c r="M20" s="50">
        <f t="shared" si="7"/>
        <v>12</v>
      </c>
      <c r="N20" s="102">
        <f t="shared" si="8"/>
        <v>68.400000000000006</v>
      </c>
      <c r="O20" s="102">
        <f t="shared" si="9"/>
        <v>1308</v>
      </c>
      <c r="P20" s="102">
        <f t="shared" si="10"/>
        <v>10.26</v>
      </c>
      <c r="Q20" s="103">
        <f t="shared" si="11"/>
        <v>1386.66</v>
      </c>
    </row>
    <row r="21" spans="1:17" s="56" customFormat="1" ht="24.9">
      <c r="A21" s="303">
        <v>8</v>
      </c>
      <c r="B21" s="304"/>
      <c r="C21" s="305" t="s">
        <v>824</v>
      </c>
      <c r="D21" s="305" t="s">
        <v>825</v>
      </c>
      <c r="E21" s="306" t="s">
        <v>723</v>
      </c>
      <c r="F21" s="307">
        <v>1</v>
      </c>
      <c r="G21" s="275">
        <v>4</v>
      </c>
      <c r="H21" s="275">
        <v>10</v>
      </c>
      <c r="I21" s="316">
        <v>22.8</v>
      </c>
      <c r="J21" s="316">
        <v>480</v>
      </c>
      <c r="K21" s="316">
        <v>3.42</v>
      </c>
      <c r="L21" s="102">
        <f t="shared" si="6"/>
        <v>506.22</v>
      </c>
      <c r="M21" s="50">
        <f t="shared" si="7"/>
        <v>4</v>
      </c>
      <c r="N21" s="102">
        <f t="shared" si="8"/>
        <v>22.8</v>
      </c>
      <c r="O21" s="102">
        <f t="shared" si="9"/>
        <v>480</v>
      </c>
      <c r="P21" s="102">
        <f t="shared" si="10"/>
        <v>3.42</v>
      </c>
      <c r="Q21" s="103">
        <f t="shared" si="11"/>
        <v>506.22</v>
      </c>
    </row>
    <row r="22" spans="1:17" s="56" customFormat="1" ht="28.8">
      <c r="A22" s="303">
        <v>9</v>
      </c>
      <c r="B22" s="304"/>
      <c r="C22" s="305" t="s">
        <v>826</v>
      </c>
      <c r="D22" s="740" t="s">
        <v>1694</v>
      </c>
      <c r="E22" s="306" t="s">
        <v>723</v>
      </c>
      <c r="F22" s="307">
        <v>1</v>
      </c>
      <c r="G22" s="275"/>
      <c r="H22" s="275"/>
      <c r="I22" s="316"/>
      <c r="J22" s="316"/>
      <c r="K22" s="316"/>
      <c r="L22" s="102">
        <f t="shared" si="6"/>
        <v>0</v>
      </c>
      <c r="M22" s="50">
        <f t="shared" si="7"/>
        <v>0</v>
      </c>
      <c r="N22" s="102">
        <f t="shared" si="8"/>
        <v>0</v>
      </c>
      <c r="O22" s="102">
        <f t="shared" si="9"/>
        <v>0</v>
      </c>
      <c r="P22" s="102">
        <f t="shared" si="10"/>
        <v>0</v>
      </c>
      <c r="Q22" s="103">
        <f t="shared" si="11"/>
        <v>0</v>
      </c>
    </row>
    <row r="23" spans="1:17" s="56" customFormat="1" ht="28.8">
      <c r="A23" s="303">
        <v>10</v>
      </c>
      <c r="B23" s="304"/>
      <c r="C23" s="305" t="s">
        <v>827</v>
      </c>
      <c r="D23" s="740" t="s">
        <v>1694</v>
      </c>
      <c r="E23" s="306" t="s">
        <v>723</v>
      </c>
      <c r="F23" s="307">
        <v>4</v>
      </c>
      <c r="G23" s="275"/>
      <c r="H23" s="275"/>
      <c r="I23" s="316"/>
      <c r="J23" s="316"/>
      <c r="K23" s="316"/>
      <c r="L23" s="102">
        <f t="shared" si="6"/>
        <v>0</v>
      </c>
      <c r="M23" s="50">
        <f t="shared" si="7"/>
        <v>0</v>
      </c>
      <c r="N23" s="102">
        <f t="shared" si="8"/>
        <v>0</v>
      </c>
      <c r="O23" s="102">
        <f t="shared" si="9"/>
        <v>0</v>
      </c>
      <c r="P23" s="102">
        <f t="shared" si="10"/>
        <v>0</v>
      </c>
      <c r="Q23" s="103">
        <f t="shared" si="11"/>
        <v>0</v>
      </c>
    </row>
    <row r="24" spans="1:17" s="56" customFormat="1">
      <c r="A24" s="303">
        <v>11</v>
      </c>
      <c r="B24" s="304"/>
      <c r="C24" s="263" t="s">
        <v>827</v>
      </c>
      <c r="D24" s="309" t="s">
        <v>828</v>
      </c>
      <c r="E24" s="310" t="s">
        <v>723</v>
      </c>
      <c r="F24" s="310">
        <v>4</v>
      </c>
      <c r="G24" s="312">
        <v>3.8</v>
      </c>
      <c r="H24" s="266">
        <v>10</v>
      </c>
      <c r="I24" s="222">
        <f t="shared" ref="I24" si="12">ROUND(G24*H24,2)</f>
        <v>38</v>
      </c>
      <c r="J24" s="267">
        <v>15.79</v>
      </c>
      <c r="K24" s="268">
        <f t="shared" ref="K24" si="13">I24*0.15</f>
        <v>5.7</v>
      </c>
      <c r="L24" s="102">
        <f t="shared" si="6"/>
        <v>59.49</v>
      </c>
      <c r="M24" s="50">
        <f t="shared" si="7"/>
        <v>15.2</v>
      </c>
      <c r="N24" s="102">
        <f t="shared" si="8"/>
        <v>152</v>
      </c>
      <c r="O24" s="102">
        <f t="shared" si="9"/>
        <v>63.16</v>
      </c>
      <c r="P24" s="102">
        <f t="shared" si="10"/>
        <v>22.8</v>
      </c>
      <c r="Q24" s="103">
        <f t="shared" si="11"/>
        <v>237.96</v>
      </c>
    </row>
    <row r="25" spans="1:17" s="56" customFormat="1">
      <c r="A25" s="303">
        <v>12</v>
      </c>
      <c r="B25" s="304"/>
      <c r="C25" s="305" t="s">
        <v>829</v>
      </c>
      <c r="D25" s="305" t="s">
        <v>830</v>
      </c>
      <c r="E25" s="306" t="s">
        <v>723</v>
      </c>
      <c r="F25" s="307">
        <v>7</v>
      </c>
      <c r="G25" s="275">
        <v>3.8</v>
      </c>
      <c r="H25" s="275">
        <v>10</v>
      </c>
      <c r="I25" s="316">
        <v>21.66</v>
      </c>
      <c r="J25" s="316">
        <v>79.680000000000007</v>
      </c>
      <c r="K25" s="316">
        <v>3.2490000000000001</v>
      </c>
      <c r="L25" s="102">
        <f t="shared" si="6"/>
        <v>104.589</v>
      </c>
      <c r="M25" s="50">
        <f t="shared" si="7"/>
        <v>26.6</v>
      </c>
      <c r="N25" s="102">
        <f t="shared" si="8"/>
        <v>151.62</v>
      </c>
      <c r="O25" s="102">
        <f t="shared" si="9"/>
        <v>557.76</v>
      </c>
      <c r="P25" s="102">
        <f t="shared" si="10"/>
        <v>22.74</v>
      </c>
      <c r="Q25" s="103">
        <f t="shared" si="11"/>
        <v>732.12</v>
      </c>
    </row>
    <row r="26" spans="1:17" s="56" customFormat="1" ht="24.9">
      <c r="A26" s="303">
        <v>13</v>
      </c>
      <c r="B26" s="304"/>
      <c r="C26" s="305" t="s">
        <v>831</v>
      </c>
      <c r="D26" s="305"/>
      <c r="E26" s="306" t="s">
        <v>721</v>
      </c>
      <c r="F26" s="307">
        <v>5</v>
      </c>
      <c r="G26" s="275">
        <v>1.8</v>
      </c>
      <c r="H26" s="275">
        <v>10</v>
      </c>
      <c r="I26" s="316">
        <v>10.8</v>
      </c>
      <c r="J26" s="316">
        <v>21.14</v>
      </c>
      <c r="K26" s="316">
        <v>1.62</v>
      </c>
      <c r="L26" s="102">
        <f t="shared" si="6"/>
        <v>33.56</v>
      </c>
      <c r="M26" s="50">
        <f t="shared" si="7"/>
        <v>9</v>
      </c>
      <c r="N26" s="102">
        <f t="shared" si="8"/>
        <v>54</v>
      </c>
      <c r="O26" s="102">
        <f t="shared" si="9"/>
        <v>105.7</v>
      </c>
      <c r="P26" s="102">
        <f t="shared" si="10"/>
        <v>8.1</v>
      </c>
      <c r="Q26" s="103">
        <f t="shared" si="11"/>
        <v>167.79999999999998</v>
      </c>
    </row>
    <row r="27" spans="1:17" s="56" customFormat="1">
      <c r="A27" s="303">
        <v>14</v>
      </c>
      <c r="B27" s="304"/>
      <c r="C27" s="305" t="s">
        <v>832</v>
      </c>
      <c r="D27" s="305"/>
      <c r="E27" s="306" t="s">
        <v>723</v>
      </c>
      <c r="F27" s="307">
        <v>164</v>
      </c>
      <c r="G27" s="275">
        <v>0.08</v>
      </c>
      <c r="H27" s="275">
        <v>10</v>
      </c>
      <c r="I27" s="316">
        <v>0.48</v>
      </c>
      <c r="J27" s="316">
        <v>1.39</v>
      </c>
      <c r="K27" s="316">
        <v>7.1999999999999995E-2</v>
      </c>
      <c r="L27" s="102">
        <f t="shared" si="6"/>
        <v>1.9419999999999999</v>
      </c>
      <c r="M27" s="50">
        <f t="shared" si="7"/>
        <v>13.12</v>
      </c>
      <c r="N27" s="102">
        <f t="shared" si="8"/>
        <v>78.72</v>
      </c>
      <c r="O27" s="102">
        <f t="shared" si="9"/>
        <v>227.96</v>
      </c>
      <c r="P27" s="102">
        <f t="shared" si="10"/>
        <v>11.81</v>
      </c>
      <c r="Q27" s="103">
        <f t="shared" si="11"/>
        <v>318.49</v>
      </c>
    </row>
    <row r="28" spans="1:17" s="56" customFormat="1">
      <c r="A28" s="303">
        <v>15</v>
      </c>
      <c r="B28" s="304"/>
      <c r="C28" s="305" t="s">
        <v>833</v>
      </c>
      <c r="D28" s="305" t="s">
        <v>834</v>
      </c>
      <c r="E28" s="306" t="s">
        <v>723</v>
      </c>
      <c r="F28" s="307">
        <v>118</v>
      </c>
      <c r="G28" s="275">
        <v>0.1</v>
      </c>
      <c r="H28" s="275">
        <v>10</v>
      </c>
      <c r="I28" s="316">
        <v>0.56999999999999995</v>
      </c>
      <c r="J28" s="316">
        <v>1.72</v>
      </c>
      <c r="K28" s="316">
        <v>8.5499999999999993E-2</v>
      </c>
      <c r="L28" s="102">
        <f t="shared" si="6"/>
        <v>2.3755000000000002</v>
      </c>
      <c r="M28" s="50">
        <f t="shared" si="7"/>
        <v>11.8</v>
      </c>
      <c r="N28" s="102">
        <f t="shared" si="8"/>
        <v>67.260000000000005</v>
      </c>
      <c r="O28" s="102">
        <f t="shared" si="9"/>
        <v>202.96</v>
      </c>
      <c r="P28" s="102">
        <f t="shared" si="10"/>
        <v>10.09</v>
      </c>
      <c r="Q28" s="103">
        <f t="shared" si="11"/>
        <v>280.31</v>
      </c>
    </row>
    <row r="29" spans="1:17" s="56" customFormat="1">
      <c r="A29" s="303">
        <v>16</v>
      </c>
      <c r="B29" s="304"/>
      <c r="C29" s="305" t="s">
        <v>835</v>
      </c>
      <c r="D29" s="305" t="s">
        <v>836</v>
      </c>
      <c r="E29" s="306" t="s">
        <v>723</v>
      </c>
      <c r="F29" s="307">
        <v>77</v>
      </c>
      <c r="G29" s="275">
        <v>0.2</v>
      </c>
      <c r="H29" s="275">
        <v>10</v>
      </c>
      <c r="I29" s="316">
        <v>1.1399999999999999</v>
      </c>
      <c r="J29" s="316">
        <v>2.16</v>
      </c>
      <c r="K29" s="316">
        <v>0.17099999999999999</v>
      </c>
      <c r="L29" s="102">
        <f t="shared" si="6"/>
        <v>3.4709999999999996</v>
      </c>
      <c r="M29" s="50">
        <f t="shared" si="7"/>
        <v>15.4</v>
      </c>
      <c r="N29" s="102">
        <f t="shared" si="8"/>
        <v>87.78</v>
      </c>
      <c r="O29" s="102">
        <f t="shared" si="9"/>
        <v>166.32</v>
      </c>
      <c r="P29" s="102">
        <f t="shared" si="10"/>
        <v>13.17</v>
      </c>
      <c r="Q29" s="103">
        <f t="shared" si="11"/>
        <v>267.27</v>
      </c>
    </row>
    <row r="30" spans="1:17" s="56" customFormat="1">
      <c r="A30" s="303">
        <v>17</v>
      </c>
      <c r="B30" s="304"/>
      <c r="C30" s="305" t="s">
        <v>837</v>
      </c>
      <c r="D30" s="305" t="s">
        <v>838</v>
      </c>
      <c r="E30" s="306" t="s">
        <v>723</v>
      </c>
      <c r="F30" s="307">
        <v>7</v>
      </c>
      <c r="G30" s="275">
        <v>0.3</v>
      </c>
      <c r="H30" s="275">
        <v>10</v>
      </c>
      <c r="I30" s="316">
        <v>1.71</v>
      </c>
      <c r="J30" s="316">
        <v>7.19</v>
      </c>
      <c r="K30" s="316">
        <v>0.25650000000000001</v>
      </c>
      <c r="L30" s="102">
        <f t="shared" si="6"/>
        <v>9.1565000000000012</v>
      </c>
      <c r="M30" s="50">
        <f t="shared" si="7"/>
        <v>2.1</v>
      </c>
      <c r="N30" s="102">
        <f t="shared" si="8"/>
        <v>11.97</v>
      </c>
      <c r="O30" s="102">
        <f t="shared" si="9"/>
        <v>50.33</v>
      </c>
      <c r="P30" s="102">
        <f t="shared" si="10"/>
        <v>1.8</v>
      </c>
      <c r="Q30" s="103">
        <f t="shared" si="11"/>
        <v>64.099999999999994</v>
      </c>
    </row>
    <row r="31" spans="1:17" s="56" customFormat="1">
      <c r="A31" s="303">
        <v>18</v>
      </c>
      <c r="B31" s="304"/>
      <c r="C31" s="308" t="s">
        <v>839</v>
      </c>
      <c r="D31" s="309" t="s">
        <v>840</v>
      </c>
      <c r="E31" s="310" t="s">
        <v>723</v>
      </c>
      <c r="F31" s="264">
        <v>1</v>
      </c>
      <c r="G31" s="275">
        <v>0.3</v>
      </c>
      <c r="H31" s="275">
        <v>10</v>
      </c>
      <c r="I31" s="316">
        <v>1.71</v>
      </c>
      <c r="J31" s="316">
        <v>7.19</v>
      </c>
      <c r="K31" s="316">
        <v>0.25650000000000001</v>
      </c>
      <c r="L31" s="102">
        <f t="shared" si="6"/>
        <v>9.1565000000000012</v>
      </c>
      <c r="M31" s="50">
        <f t="shared" si="7"/>
        <v>0.3</v>
      </c>
      <c r="N31" s="102">
        <f t="shared" si="8"/>
        <v>1.71</v>
      </c>
      <c r="O31" s="102">
        <f t="shared" si="9"/>
        <v>7.19</v>
      </c>
      <c r="P31" s="102">
        <f t="shared" si="10"/>
        <v>0.26</v>
      </c>
      <c r="Q31" s="103">
        <f t="shared" si="11"/>
        <v>9.16</v>
      </c>
    </row>
    <row r="32" spans="1:17" s="56" customFormat="1">
      <c r="A32" s="303">
        <v>19</v>
      </c>
      <c r="B32" s="304"/>
      <c r="C32" s="305" t="s">
        <v>841</v>
      </c>
      <c r="D32" s="305" t="s">
        <v>842</v>
      </c>
      <c r="E32" s="306" t="s">
        <v>723</v>
      </c>
      <c r="F32" s="307">
        <v>2</v>
      </c>
      <c r="G32" s="275">
        <v>0.3</v>
      </c>
      <c r="H32" s="275">
        <v>10</v>
      </c>
      <c r="I32" s="316">
        <v>1.71</v>
      </c>
      <c r="J32" s="316">
        <v>7.19</v>
      </c>
      <c r="K32" s="316">
        <v>0.25650000000000001</v>
      </c>
      <c r="L32" s="102">
        <f t="shared" si="6"/>
        <v>9.1565000000000012</v>
      </c>
      <c r="M32" s="50">
        <f t="shared" si="7"/>
        <v>0.6</v>
      </c>
      <c r="N32" s="102">
        <f t="shared" si="8"/>
        <v>3.42</v>
      </c>
      <c r="O32" s="102">
        <f t="shared" si="9"/>
        <v>14.38</v>
      </c>
      <c r="P32" s="102">
        <f t="shared" si="10"/>
        <v>0.51</v>
      </c>
      <c r="Q32" s="103">
        <f t="shared" si="11"/>
        <v>18.310000000000002</v>
      </c>
    </row>
    <row r="33" spans="1:17" s="56" customFormat="1">
      <c r="A33" s="303">
        <v>20</v>
      </c>
      <c r="B33" s="304"/>
      <c r="C33" s="305" t="s">
        <v>843</v>
      </c>
      <c r="D33" s="305"/>
      <c r="E33" s="306" t="s">
        <v>723</v>
      </c>
      <c r="F33" s="307">
        <v>11</v>
      </c>
      <c r="G33" s="275">
        <v>1.1000000000000001</v>
      </c>
      <c r="H33" s="275">
        <v>10</v>
      </c>
      <c r="I33" s="316">
        <v>6.27</v>
      </c>
      <c r="J33" s="316">
        <v>5.12</v>
      </c>
      <c r="K33" s="316">
        <v>0.94049999999999989</v>
      </c>
      <c r="L33" s="102">
        <f t="shared" si="6"/>
        <v>12.330500000000001</v>
      </c>
      <c r="M33" s="50">
        <f t="shared" si="7"/>
        <v>12.1</v>
      </c>
      <c r="N33" s="102">
        <f t="shared" si="8"/>
        <v>68.97</v>
      </c>
      <c r="O33" s="102">
        <f t="shared" si="9"/>
        <v>56.32</v>
      </c>
      <c r="P33" s="102">
        <f t="shared" si="10"/>
        <v>10.35</v>
      </c>
      <c r="Q33" s="103">
        <f t="shared" si="11"/>
        <v>135.63999999999999</v>
      </c>
    </row>
    <row r="34" spans="1:17" s="56" customFormat="1" ht="28.8">
      <c r="A34" s="303">
        <v>21</v>
      </c>
      <c r="B34" s="304"/>
      <c r="C34" s="305" t="s">
        <v>844</v>
      </c>
      <c r="D34" s="740" t="s">
        <v>1694</v>
      </c>
      <c r="E34" s="306" t="s">
        <v>723</v>
      </c>
      <c r="F34" s="307">
        <v>4</v>
      </c>
      <c r="G34" s="275"/>
      <c r="H34" s="275"/>
      <c r="I34" s="316"/>
      <c r="J34" s="316"/>
      <c r="K34" s="316"/>
      <c r="L34" s="102">
        <f t="shared" si="6"/>
        <v>0</v>
      </c>
      <c r="M34" s="50">
        <f t="shared" si="7"/>
        <v>0</v>
      </c>
      <c r="N34" s="102">
        <f t="shared" si="8"/>
        <v>0</v>
      </c>
      <c r="O34" s="102">
        <f t="shared" si="9"/>
        <v>0</v>
      </c>
      <c r="P34" s="102">
        <f t="shared" si="10"/>
        <v>0</v>
      </c>
      <c r="Q34" s="103">
        <f t="shared" si="11"/>
        <v>0</v>
      </c>
    </row>
    <row r="35" spans="1:17" s="56" customFormat="1" ht="37.35">
      <c r="A35" s="303">
        <v>22</v>
      </c>
      <c r="B35" s="304"/>
      <c r="C35" s="305" t="s">
        <v>845</v>
      </c>
      <c r="D35" s="305" t="s">
        <v>846</v>
      </c>
      <c r="E35" s="306" t="s">
        <v>111</v>
      </c>
      <c r="F35" s="307">
        <v>6100</v>
      </c>
      <c r="G35" s="275">
        <v>0.05</v>
      </c>
      <c r="H35" s="275">
        <v>10</v>
      </c>
      <c r="I35" s="316">
        <v>0.28999999999999998</v>
      </c>
      <c r="J35" s="316">
        <v>0.55000000000000004</v>
      </c>
      <c r="K35" s="316">
        <v>4.3499999999999997E-2</v>
      </c>
      <c r="L35" s="102">
        <f t="shared" si="6"/>
        <v>0.88350000000000006</v>
      </c>
      <c r="M35" s="50">
        <f t="shared" si="7"/>
        <v>305</v>
      </c>
      <c r="N35" s="102">
        <f t="shared" si="8"/>
        <v>1769</v>
      </c>
      <c r="O35" s="102">
        <f t="shared" si="9"/>
        <v>3355</v>
      </c>
      <c r="P35" s="102">
        <f t="shared" si="10"/>
        <v>265.35000000000002</v>
      </c>
      <c r="Q35" s="103">
        <f t="shared" si="11"/>
        <v>5389.35</v>
      </c>
    </row>
    <row r="36" spans="1:17" s="56" customFormat="1">
      <c r="A36" s="303">
        <v>23</v>
      </c>
      <c r="B36" s="304"/>
      <c r="C36" s="305" t="s">
        <v>847</v>
      </c>
      <c r="D36" s="305" t="s">
        <v>848</v>
      </c>
      <c r="E36" s="306" t="s">
        <v>111</v>
      </c>
      <c r="F36" s="307">
        <v>840</v>
      </c>
      <c r="G36" s="275">
        <v>0.08</v>
      </c>
      <c r="H36" s="275">
        <v>10</v>
      </c>
      <c r="I36" s="316">
        <v>0.46</v>
      </c>
      <c r="J36" s="316">
        <v>1.01</v>
      </c>
      <c r="K36" s="316">
        <v>6.9000000000000006E-2</v>
      </c>
      <c r="L36" s="102">
        <f t="shared" si="6"/>
        <v>1.5389999999999999</v>
      </c>
      <c r="M36" s="50">
        <f t="shared" si="7"/>
        <v>67.2</v>
      </c>
      <c r="N36" s="102">
        <f t="shared" si="8"/>
        <v>386.4</v>
      </c>
      <c r="O36" s="102">
        <f t="shared" si="9"/>
        <v>848.4</v>
      </c>
      <c r="P36" s="102">
        <f t="shared" si="10"/>
        <v>57.96</v>
      </c>
      <c r="Q36" s="103">
        <f t="shared" si="11"/>
        <v>1292.76</v>
      </c>
    </row>
    <row r="37" spans="1:17" s="56" customFormat="1" ht="24.9">
      <c r="A37" s="303">
        <v>24</v>
      </c>
      <c r="B37" s="304"/>
      <c r="C37" s="305" t="s">
        <v>849</v>
      </c>
      <c r="D37" s="305"/>
      <c r="E37" s="306" t="s">
        <v>721</v>
      </c>
      <c r="F37" s="307">
        <v>34</v>
      </c>
      <c r="G37" s="275">
        <v>1.4</v>
      </c>
      <c r="H37" s="275">
        <v>10</v>
      </c>
      <c r="I37" s="316">
        <v>8.4</v>
      </c>
      <c r="J37" s="316">
        <v>19.2</v>
      </c>
      <c r="K37" s="316">
        <v>1.26</v>
      </c>
      <c r="L37" s="102">
        <f t="shared" si="6"/>
        <v>28.860000000000003</v>
      </c>
      <c r="M37" s="50">
        <f t="shared" si="7"/>
        <v>47.6</v>
      </c>
      <c r="N37" s="102">
        <f t="shared" si="8"/>
        <v>285.60000000000002</v>
      </c>
      <c r="O37" s="102">
        <f t="shared" si="9"/>
        <v>652.79999999999995</v>
      </c>
      <c r="P37" s="102">
        <f t="shared" si="10"/>
        <v>42.84</v>
      </c>
      <c r="Q37" s="103">
        <f t="shared" si="11"/>
        <v>981.24</v>
      </c>
    </row>
    <row r="38" spans="1:17" s="56" customFormat="1" ht="24.9">
      <c r="A38" s="303">
        <v>25</v>
      </c>
      <c r="B38" s="304"/>
      <c r="C38" s="305" t="s">
        <v>850</v>
      </c>
      <c r="D38" s="305"/>
      <c r="E38" s="306" t="s">
        <v>721</v>
      </c>
      <c r="F38" s="307">
        <v>9</v>
      </c>
      <c r="G38" s="275">
        <v>1.1000000000000001</v>
      </c>
      <c r="H38" s="275">
        <v>10</v>
      </c>
      <c r="I38" s="316">
        <v>6.27</v>
      </c>
      <c r="J38" s="316">
        <v>5.3</v>
      </c>
      <c r="K38" s="316">
        <v>0.94049999999999989</v>
      </c>
      <c r="L38" s="102">
        <f t="shared" si="6"/>
        <v>12.5105</v>
      </c>
      <c r="M38" s="50">
        <f t="shared" si="7"/>
        <v>9.9</v>
      </c>
      <c r="N38" s="102">
        <f t="shared" si="8"/>
        <v>56.43</v>
      </c>
      <c r="O38" s="102">
        <f t="shared" si="9"/>
        <v>47.7</v>
      </c>
      <c r="P38" s="102">
        <f t="shared" si="10"/>
        <v>8.4600000000000009</v>
      </c>
      <c r="Q38" s="103">
        <f t="shared" si="11"/>
        <v>112.59</v>
      </c>
    </row>
    <row r="39" spans="1:17" s="56" customFormat="1">
      <c r="A39" s="303">
        <v>26</v>
      </c>
      <c r="B39" s="304"/>
      <c r="C39" s="305" t="s">
        <v>851</v>
      </c>
      <c r="D39" s="305"/>
      <c r="E39" s="306" t="s">
        <v>721</v>
      </c>
      <c r="F39" s="307">
        <v>2</v>
      </c>
      <c r="G39" s="275">
        <v>4</v>
      </c>
      <c r="H39" s="275">
        <v>10</v>
      </c>
      <c r="I39" s="316">
        <v>24</v>
      </c>
      <c r="J39" s="316">
        <v>22.8</v>
      </c>
      <c r="K39" s="316">
        <v>3.5999999999999996</v>
      </c>
      <c r="L39" s="102">
        <f t="shared" si="6"/>
        <v>50.4</v>
      </c>
      <c r="M39" s="50">
        <f t="shared" si="7"/>
        <v>8</v>
      </c>
      <c r="N39" s="102">
        <f t="shared" si="8"/>
        <v>48</v>
      </c>
      <c r="O39" s="102">
        <f t="shared" si="9"/>
        <v>45.6</v>
      </c>
      <c r="P39" s="102">
        <f t="shared" si="10"/>
        <v>7.2</v>
      </c>
      <c r="Q39" s="103">
        <f t="shared" si="11"/>
        <v>100.8</v>
      </c>
    </row>
    <row r="40" spans="1:17" s="56" customFormat="1">
      <c r="A40" s="303">
        <v>27</v>
      </c>
      <c r="B40" s="304"/>
      <c r="C40" s="305" t="s">
        <v>852</v>
      </c>
      <c r="D40" s="305"/>
      <c r="E40" s="306" t="s">
        <v>111</v>
      </c>
      <c r="F40" s="307">
        <v>1500</v>
      </c>
      <c r="G40" s="275">
        <v>0.08</v>
      </c>
      <c r="H40" s="275">
        <v>10</v>
      </c>
      <c r="I40" s="316">
        <v>0.48</v>
      </c>
      <c r="J40" s="316">
        <v>0.33</v>
      </c>
      <c r="K40" s="316">
        <v>7.1999999999999995E-2</v>
      </c>
      <c r="L40" s="102">
        <f t="shared" si="6"/>
        <v>0.88200000000000001</v>
      </c>
      <c r="M40" s="50">
        <f t="shared" si="7"/>
        <v>120</v>
      </c>
      <c r="N40" s="102">
        <f t="shared" si="8"/>
        <v>720</v>
      </c>
      <c r="O40" s="102">
        <f t="shared" si="9"/>
        <v>495</v>
      </c>
      <c r="P40" s="102">
        <f t="shared" si="10"/>
        <v>108</v>
      </c>
      <c r="Q40" s="103">
        <f t="shared" si="11"/>
        <v>1323</v>
      </c>
    </row>
    <row r="41" spans="1:17" s="56" customFormat="1">
      <c r="A41" s="303">
        <v>28</v>
      </c>
      <c r="B41" s="304"/>
      <c r="C41" s="305" t="s">
        <v>853</v>
      </c>
      <c r="D41" s="305"/>
      <c r="E41" s="306" t="s">
        <v>111</v>
      </c>
      <c r="F41" s="307">
        <v>20</v>
      </c>
      <c r="G41" s="275">
        <v>0.6</v>
      </c>
      <c r="H41" s="275">
        <v>10</v>
      </c>
      <c r="I41" s="316">
        <v>3.6</v>
      </c>
      <c r="J41" s="316"/>
      <c r="K41" s="316">
        <v>0.54</v>
      </c>
      <c r="L41" s="102">
        <f t="shared" si="6"/>
        <v>4.1400000000000006</v>
      </c>
      <c r="M41" s="50">
        <f t="shared" si="7"/>
        <v>12</v>
      </c>
      <c r="N41" s="102">
        <f t="shared" si="8"/>
        <v>72</v>
      </c>
      <c r="O41" s="102">
        <f t="shared" si="9"/>
        <v>0</v>
      </c>
      <c r="P41" s="102">
        <f t="shared" si="10"/>
        <v>10.8</v>
      </c>
      <c r="Q41" s="103">
        <f t="shared" si="11"/>
        <v>82.8</v>
      </c>
    </row>
    <row r="42" spans="1:17" s="56" customFormat="1">
      <c r="A42" s="303">
        <v>29</v>
      </c>
      <c r="B42" s="304"/>
      <c r="C42" s="305" t="s">
        <v>854</v>
      </c>
      <c r="D42" s="305"/>
      <c r="E42" s="306" t="s">
        <v>111</v>
      </c>
      <c r="F42" s="307">
        <v>20</v>
      </c>
      <c r="G42" s="275">
        <v>0.65</v>
      </c>
      <c r="H42" s="275">
        <v>10</v>
      </c>
      <c r="I42" s="316">
        <v>3.9</v>
      </c>
      <c r="J42" s="316">
        <v>5.0199999999999996</v>
      </c>
      <c r="K42" s="316">
        <v>0.58499999999999996</v>
      </c>
      <c r="L42" s="102">
        <f t="shared" si="6"/>
        <v>9.504999999999999</v>
      </c>
      <c r="M42" s="50">
        <f t="shared" si="7"/>
        <v>13</v>
      </c>
      <c r="N42" s="102">
        <f t="shared" si="8"/>
        <v>78</v>
      </c>
      <c r="O42" s="102">
        <f t="shared" si="9"/>
        <v>100.4</v>
      </c>
      <c r="P42" s="102">
        <f t="shared" si="10"/>
        <v>11.7</v>
      </c>
      <c r="Q42" s="103">
        <f t="shared" si="11"/>
        <v>190.1</v>
      </c>
    </row>
    <row r="43" spans="1:17" s="56" customFormat="1">
      <c r="A43" s="303">
        <v>30</v>
      </c>
      <c r="B43" s="304"/>
      <c r="C43" s="305" t="s">
        <v>802</v>
      </c>
      <c r="D43" s="305"/>
      <c r="E43" s="306" t="s">
        <v>723</v>
      </c>
      <c r="F43" s="307">
        <v>315</v>
      </c>
      <c r="G43" s="275">
        <v>0.6</v>
      </c>
      <c r="H43" s="275">
        <v>10</v>
      </c>
      <c r="I43" s="316">
        <v>3.6</v>
      </c>
      <c r="J43" s="316">
        <v>2.95</v>
      </c>
      <c r="K43" s="316">
        <v>0.54</v>
      </c>
      <c r="L43" s="102">
        <f t="shared" si="6"/>
        <v>7.0900000000000007</v>
      </c>
      <c r="M43" s="50">
        <f t="shared" si="7"/>
        <v>189</v>
      </c>
      <c r="N43" s="102">
        <f t="shared" si="8"/>
        <v>1134</v>
      </c>
      <c r="O43" s="102">
        <f t="shared" si="9"/>
        <v>929.25</v>
      </c>
      <c r="P43" s="102">
        <f t="shared" si="10"/>
        <v>170.1</v>
      </c>
      <c r="Q43" s="103">
        <f t="shared" si="11"/>
        <v>2233.35</v>
      </c>
    </row>
    <row r="44" spans="1:17" s="56" customFormat="1" ht="37.35">
      <c r="A44" s="303">
        <v>31</v>
      </c>
      <c r="B44" s="304"/>
      <c r="C44" s="305" t="s">
        <v>855</v>
      </c>
      <c r="D44" s="305" t="s">
        <v>856</v>
      </c>
      <c r="E44" s="306" t="s">
        <v>723</v>
      </c>
      <c r="F44" s="307">
        <v>75</v>
      </c>
      <c r="G44" s="275">
        <v>0.75</v>
      </c>
      <c r="H44" s="275">
        <v>10</v>
      </c>
      <c r="I44" s="316">
        <v>4.5</v>
      </c>
      <c r="J44" s="316">
        <v>5.36</v>
      </c>
      <c r="K44" s="316">
        <v>0.67499999999999993</v>
      </c>
      <c r="L44" s="102">
        <f t="shared" si="6"/>
        <v>10.535</v>
      </c>
      <c r="M44" s="50">
        <f t="shared" si="7"/>
        <v>56.25</v>
      </c>
      <c r="N44" s="102">
        <f t="shared" si="8"/>
        <v>337.5</v>
      </c>
      <c r="O44" s="102">
        <f t="shared" si="9"/>
        <v>402</v>
      </c>
      <c r="P44" s="102">
        <f t="shared" si="10"/>
        <v>50.63</v>
      </c>
      <c r="Q44" s="103">
        <f t="shared" si="11"/>
        <v>790.13</v>
      </c>
    </row>
    <row r="45" spans="1:17" s="56" customFormat="1" ht="24.9">
      <c r="A45" s="303">
        <v>32</v>
      </c>
      <c r="B45" s="304"/>
      <c r="C45" s="305" t="s">
        <v>857</v>
      </c>
      <c r="D45" s="305" t="s">
        <v>858</v>
      </c>
      <c r="E45" s="306" t="s">
        <v>723</v>
      </c>
      <c r="F45" s="307">
        <v>5</v>
      </c>
      <c r="G45" s="275">
        <v>0.4</v>
      </c>
      <c r="H45" s="275">
        <v>10</v>
      </c>
      <c r="I45" s="316">
        <v>2.4</v>
      </c>
      <c r="J45" s="316">
        <v>68.150000000000006</v>
      </c>
      <c r="K45" s="316">
        <v>0.36</v>
      </c>
      <c r="L45" s="102">
        <f t="shared" si="6"/>
        <v>70.910000000000011</v>
      </c>
      <c r="M45" s="50">
        <f t="shared" si="7"/>
        <v>2</v>
      </c>
      <c r="N45" s="102">
        <f t="shared" si="8"/>
        <v>12</v>
      </c>
      <c r="O45" s="102">
        <f t="shared" si="9"/>
        <v>340.75</v>
      </c>
      <c r="P45" s="102">
        <f t="shared" si="10"/>
        <v>1.8</v>
      </c>
      <c r="Q45" s="103">
        <f t="shared" si="11"/>
        <v>354.55</v>
      </c>
    </row>
    <row r="46" spans="1:17" s="56" customFormat="1" ht="24.9">
      <c r="A46" s="303">
        <v>33</v>
      </c>
      <c r="B46" s="304"/>
      <c r="C46" s="305" t="s">
        <v>859</v>
      </c>
      <c r="D46" s="305" t="s">
        <v>858</v>
      </c>
      <c r="E46" s="306" t="s">
        <v>723</v>
      </c>
      <c r="F46" s="307">
        <v>5</v>
      </c>
      <c r="G46" s="275">
        <v>0.5</v>
      </c>
      <c r="H46" s="275">
        <v>10</v>
      </c>
      <c r="I46" s="316">
        <v>3</v>
      </c>
      <c r="J46" s="316">
        <v>25.18</v>
      </c>
      <c r="K46" s="316">
        <v>0.44999999999999996</v>
      </c>
      <c r="L46" s="102">
        <f t="shared" si="6"/>
        <v>28.63</v>
      </c>
      <c r="M46" s="50">
        <f t="shared" si="7"/>
        <v>2.5</v>
      </c>
      <c r="N46" s="102">
        <f t="shared" si="8"/>
        <v>15</v>
      </c>
      <c r="O46" s="102">
        <f t="shared" si="9"/>
        <v>125.9</v>
      </c>
      <c r="P46" s="102">
        <f t="shared" si="10"/>
        <v>2.25</v>
      </c>
      <c r="Q46" s="103">
        <f t="shared" si="11"/>
        <v>143.15</v>
      </c>
    </row>
    <row r="47" spans="1:17">
      <c r="A47" s="303">
        <v>34</v>
      </c>
      <c r="B47" s="304"/>
      <c r="C47" s="305" t="s">
        <v>860</v>
      </c>
      <c r="D47" s="305"/>
      <c r="E47" s="306" t="s">
        <v>721</v>
      </c>
      <c r="F47" s="307">
        <v>1</v>
      </c>
      <c r="G47" s="275"/>
      <c r="H47" s="275"/>
      <c r="I47" s="316">
        <v>0</v>
      </c>
      <c r="J47" s="316">
        <v>820</v>
      </c>
      <c r="K47" s="316">
        <v>0</v>
      </c>
      <c r="L47" s="102">
        <f t="shared" ref="L47" si="14">SUM(I47:K47)</f>
        <v>820</v>
      </c>
      <c r="M47" s="50">
        <f t="shared" ref="M47" si="15">ROUND(G47*F47,2)</f>
        <v>0</v>
      </c>
      <c r="N47" s="102">
        <f t="shared" ref="N47" si="16">ROUND(I47*F47,2)</f>
        <v>0</v>
      </c>
      <c r="O47" s="102">
        <f t="shared" ref="O47" si="17">ROUND(J47*F47,2)</f>
        <v>820</v>
      </c>
      <c r="P47" s="102">
        <f t="shared" ref="P47" si="18">ROUND(K47*F47,2)</f>
        <v>0</v>
      </c>
      <c r="Q47" s="103">
        <f t="shared" ref="Q47" si="19">SUM(N47:P47)</f>
        <v>820</v>
      </c>
    </row>
    <row r="48" spans="1:17" ht="15.05" customHeight="1">
      <c r="A48" s="206"/>
      <c r="B48" s="206"/>
      <c r="C48" s="951" t="s">
        <v>99</v>
      </c>
      <c r="D48" s="951"/>
      <c r="E48" s="952"/>
      <c r="F48" s="952"/>
      <c r="G48" s="952"/>
      <c r="H48" s="952"/>
      <c r="I48" s="952"/>
      <c r="J48" s="952"/>
      <c r="K48" s="952"/>
      <c r="L48" s="952"/>
      <c r="M48" s="208">
        <f>SUM(M13:M47)</f>
        <v>993.67000000000007</v>
      </c>
      <c r="N48" s="208">
        <f>SUM(N13:N47)</f>
        <v>5915.32</v>
      </c>
      <c r="O48" s="208">
        <f>SUM(O13:O47)</f>
        <v>13865</v>
      </c>
      <c r="P48" s="208">
        <f>SUM(P13:P47)</f>
        <v>887.31000000000006</v>
      </c>
      <c r="Q48" s="208">
        <f>SUM(Q13:Q47)</f>
        <v>20667.63</v>
      </c>
    </row>
    <row r="49" spans="1:17" s="125" customFormat="1">
      <c r="J49" s="146"/>
    </row>
    <row r="50" spans="1:17" s="122" customFormat="1" ht="12.8" customHeight="1">
      <c r="B50" s="147" t="s">
        <v>54</v>
      </c>
    </row>
    <row r="51" spans="1:17" s="122" customFormat="1" ht="45" customHeight="1">
      <c r="A51"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51" s="926"/>
      <c r="C51" s="926"/>
      <c r="D51" s="926"/>
      <c r="E51" s="926"/>
      <c r="F51" s="926"/>
      <c r="G51" s="926"/>
      <c r="H51" s="926"/>
      <c r="I51" s="926"/>
      <c r="J51" s="926"/>
      <c r="K51" s="926"/>
      <c r="L51" s="926"/>
      <c r="M51" s="926"/>
      <c r="N51" s="926"/>
      <c r="O51" s="926"/>
      <c r="P51" s="926"/>
      <c r="Q51" s="926"/>
    </row>
    <row r="52" spans="1:17" s="122" customFormat="1" ht="76.75" customHeight="1">
      <c r="A52" s="925"/>
      <c r="B52" s="925"/>
      <c r="C52" s="925"/>
      <c r="D52" s="925"/>
      <c r="E52" s="925"/>
      <c r="F52" s="925"/>
      <c r="G52" s="925"/>
      <c r="H52" s="925"/>
      <c r="I52" s="925"/>
      <c r="J52" s="925"/>
      <c r="K52" s="925"/>
      <c r="L52" s="925"/>
      <c r="M52" s="925"/>
      <c r="N52" s="925"/>
      <c r="O52" s="925"/>
      <c r="P52" s="925"/>
      <c r="Q52" s="925"/>
    </row>
    <row r="53" spans="1:17" s="122" customFormat="1" ht="12.8" customHeight="1">
      <c r="B53" s="148"/>
    </row>
    <row r="54" spans="1:17" s="122" customFormat="1" ht="12.8" customHeight="1">
      <c r="B54" s="148"/>
    </row>
    <row r="55" spans="1:17" s="125" customFormat="1">
      <c r="B55" s="125" t="s">
        <v>8</v>
      </c>
      <c r="M55" s="157" t="str">
        <f>Koptame!B39</f>
        <v>Pārbaudīja:</v>
      </c>
      <c r="N55" s="157"/>
      <c r="O55" s="157"/>
      <c r="P55" s="157"/>
      <c r="Q55" s="157"/>
    </row>
    <row r="56" spans="1:17" s="125" customFormat="1">
      <c r="C56" s="175" t="str">
        <f>Koptame!C34</f>
        <v>Arnis Gailītis</v>
      </c>
      <c r="D56" s="191"/>
      <c r="M56" s="175"/>
      <c r="N56" s="922" t="str">
        <f>Koptame!C40</f>
        <v>Dzintra Cīrule</v>
      </c>
      <c r="O56" s="922"/>
      <c r="P56" s="157"/>
      <c r="Q56" s="157"/>
    </row>
    <row r="57" spans="1:17" s="125" customFormat="1">
      <c r="C57" s="176" t="str">
        <f>Koptame!C35</f>
        <v>Sertifikāta Nr.20-5643</v>
      </c>
      <c r="D57" s="192"/>
      <c r="M57" s="176"/>
      <c r="N57" s="923" t="str">
        <f>Koptame!C41</f>
        <v>Sertifikāta Nr.10-0363</v>
      </c>
      <c r="O57" s="923"/>
      <c r="P57" s="157"/>
      <c r="Q57" s="157"/>
    </row>
    <row r="58" spans="1:17" s="125" customFormat="1" collapsed="1">
      <c r="B58" s="146"/>
      <c r="G58" s="146"/>
      <c r="H58" s="146"/>
    </row>
    <row r="59" spans="1:17">
      <c r="B59" s="56"/>
      <c r="C59" s="19"/>
      <c r="D59" s="19"/>
      <c r="G59" s="56"/>
      <c r="H59" s="56"/>
    </row>
    <row r="60" spans="1:17">
      <c r="B60" s="56"/>
      <c r="C60" s="19"/>
      <c r="D60" s="19"/>
      <c r="G60" s="56"/>
      <c r="H60" s="56"/>
    </row>
  </sheetData>
  <mergeCells count="18">
    <mergeCell ref="N57:O57"/>
    <mergeCell ref="G11:L11"/>
    <mergeCell ref="M11:Q11"/>
    <mergeCell ref="C48:L48"/>
    <mergeCell ref="N56:O56"/>
    <mergeCell ref="A52:Q52"/>
    <mergeCell ref="A51:Q51"/>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109"/>
  <sheetViews>
    <sheetView showZeros="0" view="pageBreakPreview" topLeftCell="A88" zoomScale="90" zoomScaleNormal="100" zoomScaleSheetLayoutView="90" workbookViewId="0">
      <selection activeCell="H90" sqref="H90"/>
    </sheetView>
  </sheetViews>
  <sheetFormatPr defaultColWidth="9.125" defaultRowHeight="14.4"/>
  <cols>
    <col min="1" max="1" width="9" style="19" customWidth="1"/>
    <col min="2" max="2" width="9.375" style="19" customWidth="1"/>
    <col min="3" max="3" width="43.875" style="49" customWidth="1"/>
    <col min="4" max="4" width="20.375" style="4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25" style="19" customWidth="1"/>
    <col min="18" max="16384" width="9.125" style="19"/>
  </cols>
  <sheetData>
    <row r="1" spans="1:17" s="24" customFormat="1">
      <c r="C1" s="47"/>
      <c r="D1" s="47"/>
      <c r="F1" s="21"/>
      <c r="G1" s="21"/>
      <c r="H1" s="181" t="s">
        <v>92</v>
      </c>
      <c r="I1" s="110" t="str">
        <f>kops2!B32</f>
        <v>2,12</v>
      </c>
    </row>
    <row r="2" spans="1:17" s="24" customFormat="1">
      <c r="A2" s="919" t="str">
        <f>C13</f>
        <v>VAS</v>
      </c>
      <c r="B2" s="919"/>
      <c r="C2" s="919"/>
      <c r="D2" s="919"/>
      <c r="E2" s="919"/>
      <c r="F2" s="919"/>
      <c r="G2" s="919"/>
      <c r="H2" s="919"/>
      <c r="I2" s="919"/>
      <c r="J2" s="919"/>
      <c r="K2" s="919"/>
      <c r="L2" s="919"/>
      <c r="M2" s="919"/>
      <c r="N2" s="919"/>
      <c r="O2" s="919"/>
      <c r="P2" s="919"/>
      <c r="Q2" s="919"/>
    </row>
    <row r="3" spans="1:17">
      <c r="A3" s="20"/>
      <c r="B3" s="20"/>
      <c r="C3" s="48" t="s">
        <v>11</v>
      </c>
      <c r="D3" s="48"/>
      <c r="E3" s="921" t="str">
        <f>Koptame!C11</f>
        <v>Ražošanas ēka</v>
      </c>
      <c r="F3" s="921"/>
      <c r="G3" s="921"/>
      <c r="H3" s="921"/>
      <c r="I3" s="921"/>
      <c r="J3" s="921"/>
      <c r="K3" s="921"/>
      <c r="L3" s="921"/>
      <c r="M3" s="921"/>
      <c r="N3" s="921"/>
      <c r="O3" s="921"/>
      <c r="P3" s="921"/>
      <c r="Q3" s="921"/>
    </row>
    <row r="4" spans="1:17">
      <c r="A4" s="20"/>
      <c r="B4" s="20"/>
      <c r="C4" s="48" t="s">
        <v>12</v>
      </c>
      <c r="D4" s="48"/>
      <c r="E4" s="921" t="str">
        <f>Koptame!C12</f>
        <v>Ražošanas ēkas Nr.7 jaunbūve</v>
      </c>
      <c r="F4" s="921"/>
      <c r="G4" s="921"/>
      <c r="H4" s="921"/>
      <c r="I4" s="921"/>
      <c r="J4" s="921"/>
      <c r="K4" s="921"/>
      <c r="L4" s="921"/>
      <c r="M4" s="921"/>
      <c r="N4" s="921"/>
      <c r="O4" s="921"/>
      <c r="P4" s="921"/>
      <c r="Q4" s="921"/>
    </row>
    <row r="5" spans="1:17">
      <c r="A5" s="20"/>
      <c r="B5" s="20"/>
      <c r="C5" s="48" t="s">
        <v>13</v>
      </c>
      <c r="D5" s="48"/>
      <c r="E5" s="921" t="str">
        <f>Koptame!C13</f>
        <v>Ventspils, Ventspils Augsto tehnoloģiju parks</v>
      </c>
      <c r="F5" s="921"/>
      <c r="G5" s="921"/>
      <c r="H5" s="921"/>
      <c r="I5" s="921"/>
      <c r="J5" s="921"/>
      <c r="K5" s="921"/>
      <c r="L5" s="921"/>
      <c r="M5" s="921"/>
      <c r="N5" s="921"/>
      <c r="O5" s="921"/>
      <c r="P5" s="921"/>
      <c r="Q5" s="921"/>
    </row>
    <row r="6" spans="1:17">
      <c r="A6" s="20"/>
      <c r="B6" s="20"/>
      <c r="C6" s="48" t="str">
        <f>Koptame!B14</f>
        <v>Pasūtījuma Nr.</v>
      </c>
      <c r="D6" s="48"/>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Q97</f>
        <v>88582.809999999983</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4.5" customHeight="1">
      <c r="A12" s="927"/>
      <c r="B12" s="935"/>
      <c r="C12" s="947"/>
      <c r="D12" s="948"/>
      <c r="E12" s="931"/>
      <c r="F12" s="927"/>
      <c r="G12" s="630" t="s">
        <v>26</v>
      </c>
      <c r="H12" s="630" t="s">
        <v>58</v>
      </c>
      <c r="I12" s="630" t="s">
        <v>59</v>
      </c>
      <c r="J12" s="630" t="s">
        <v>95</v>
      </c>
      <c r="K12" s="630" t="s">
        <v>60</v>
      </c>
      <c r="L12" s="630" t="s">
        <v>61</v>
      </c>
      <c r="M12" s="630" t="s">
        <v>18</v>
      </c>
      <c r="N12" s="630" t="s">
        <v>59</v>
      </c>
      <c r="O12" s="630" t="s">
        <v>95</v>
      </c>
      <c r="P12" s="630" t="s">
        <v>60</v>
      </c>
      <c r="Q12" s="630" t="s">
        <v>62</v>
      </c>
    </row>
    <row r="13" spans="1:17" ht="26.2" customHeight="1">
      <c r="A13" s="209"/>
      <c r="B13" s="210">
        <v>0</v>
      </c>
      <c r="C13" s="953" t="str">
        <f>kops2!C33</f>
        <v>VAS</v>
      </c>
      <c r="D13" s="953"/>
      <c r="E13" s="212"/>
      <c r="F13" s="213"/>
      <c r="G13" s="251">
        <v>0</v>
      </c>
      <c r="H13" s="251">
        <v>0</v>
      </c>
      <c r="I13" s="216"/>
      <c r="J13" s="215"/>
      <c r="K13" s="215"/>
      <c r="L13" s="277">
        <f t="shared" ref="L13" si="0">SUM(I13:K13)</f>
        <v>0</v>
      </c>
      <c r="M13" s="251">
        <f t="shared" ref="M13" si="1">ROUND(G13*F13,2)</f>
        <v>0</v>
      </c>
      <c r="N13" s="277">
        <f t="shared" ref="N13" si="2">ROUND(I13*F13,2)</f>
        <v>0</v>
      </c>
      <c r="O13" s="277">
        <f t="shared" ref="O13" si="3">ROUND(J13*F13,2)</f>
        <v>0</v>
      </c>
      <c r="P13" s="277">
        <f t="shared" ref="P13" si="4">ROUND(K13*F13,2)</f>
        <v>0</v>
      </c>
      <c r="Q13" s="278">
        <f t="shared" ref="Q13" si="5">SUM(N13:P13)</f>
        <v>0</v>
      </c>
    </row>
    <row r="14" spans="1:17" s="56" customFormat="1" ht="15.05">
      <c r="A14" s="646"/>
      <c r="B14" s="741"/>
      <c r="C14" s="647" t="s">
        <v>1480</v>
      </c>
      <c r="D14" s="648"/>
      <c r="E14" s="15"/>
      <c r="F14" s="649"/>
      <c r="G14" s="649"/>
      <c r="H14" s="220"/>
      <c r="I14" s="316"/>
      <c r="J14" s="316"/>
      <c r="K14" s="316"/>
      <c r="L14" s="275"/>
      <c r="M14" s="220"/>
      <c r="N14" s="275"/>
      <c r="O14" s="275"/>
      <c r="P14" s="275"/>
      <c r="Q14" s="286"/>
    </row>
    <row r="15" spans="1:17" s="56" customFormat="1" ht="15.05">
      <c r="A15" s="646"/>
      <c r="B15" s="741"/>
      <c r="C15" s="647" t="s">
        <v>1481</v>
      </c>
      <c r="D15" s="648"/>
      <c r="E15" s="15"/>
      <c r="F15" s="649"/>
      <c r="G15" s="649"/>
      <c r="H15" s="220"/>
      <c r="I15" s="316"/>
      <c r="J15" s="316"/>
      <c r="K15" s="316"/>
      <c r="L15" s="275"/>
      <c r="M15" s="220"/>
      <c r="N15" s="275"/>
      <c r="O15" s="275"/>
      <c r="P15" s="275"/>
      <c r="Q15" s="286"/>
    </row>
    <row r="16" spans="1:17" s="56" customFormat="1" ht="211.45">
      <c r="A16" s="646">
        <v>1</v>
      </c>
      <c r="B16" s="741"/>
      <c r="C16" s="650" t="s">
        <v>1482</v>
      </c>
      <c r="D16" s="651" t="s">
        <v>1544</v>
      </c>
      <c r="E16" s="652" t="s">
        <v>136</v>
      </c>
      <c r="F16" s="649">
        <v>1</v>
      </c>
      <c r="G16" s="637">
        <v>99</v>
      </c>
      <c r="H16" s="637">
        <v>10</v>
      </c>
      <c r="I16" s="241">
        <f t="shared" ref="I16:I35" si="6">ROUND(G16*H16,2)</f>
        <v>990</v>
      </c>
      <c r="J16" s="637">
        <v>2000</v>
      </c>
      <c r="K16" s="377">
        <f t="shared" ref="K16:K26" si="7">I16*0.15</f>
        <v>148.5</v>
      </c>
      <c r="L16" s="222">
        <f>SUM(I16:K16)</f>
        <v>3138.5</v>
      </c>
      <c r="M16" s="223">
        <f>ROUND(G16*F16,2)</f>
        <v>99</v>
      </c>
      <c r="N16" s="222">
        <f>ROUND(I16*F16,2)</f>
        <v>990</v>
      </c>
      <c r="O16" s="222">
        <f>ROUND(J16*F16,2)</f>
        <v>2000</v>
      </c>
      <c r="P16" s="222">
        <f>ROUND(K16*F16,2)</f>
        <v>148.5</v>
      </c>
      <c r="Q16" s="250">
        <f>SUM(N16:P16)</f>
        <v>3138.5</v>
      </c>
    </row>
    <row r="17" spans="1:17" s="56" customFormat="1">
      <c r="A17" s="646">
        <v>2</v>
      </c>
      <c r="B17" s="741"/>
      <c r="C17" s="653" t="s">
        <v>1483</v>
      </c>
      <c r="D17" s="651" t="s">
        <v>1545</v>
      </c>
      <c r="E17" s="652" t="s">
        <v>118</v>
      </c>
      <c r="F17" s="649">
        <v>1</v>
      </c>
      <c r="G17" s="654">
        <v>2.5</v>
      </c>
      <c r="H17" s="637">
        <v>10</v>
      </c>
      <c r="I17" s="241">
        <f t="shared" si="6"/>
        <v>25</v>
      </c>
      <c r="J17" s="655">
        <v>2483.1</v>
      </c>
      <c r="K17" s="377">
        <f t="shared" si="7"/>
        <v>3.75</v>
      </c>
      <c r="L17" s="222">
        <f t="shared" ref="L17:L80" si="8">SUM(I17:K17)</f>
        <v>2511.85</v>
      </c>
      <c r="M17" s="223">
        <f t="shared" ref="M17:M80" si="9">ROUND(G17*F17,2)</f>
        <v>2.5</v>
      </c>
      <c r="N17" s="222">
        <f t="shared" ref="N17:N80" si="10">ROUND(I17*F17,2)</f>
        <v>25</v>
      </c>
      <c r="O17" s="222">
        <f t="shared" ref="O17:O80" si="11">ROUND(J17*F17,2)</f>
        <v>2483.1</v>
      </c>
      <c r="P17" s="222">
        <f t="shared" ref="P17:P80" si="12">ROUND(K17*F17,2)</f>
        <v>3.75</v>
      </c>
      <c r="Q17" s="250">
        <f t="shared" ref="Q17:Q80" si="13">SUM(N17:P17)</f>
        <v>2511.85</v>
      </c>
    </row>
    <row r="18" spans="1:17" s="56" customFormat="1">
      <c r="A18" s="646">
        <v>3</v>
      </c>
      <c r="B18" s="741"/>
      <c r="C18" s="653" t="s">
        <v>1484</v>
      </c>
      <c r="D18" s="651" t="s">
        <v>1546</v>
      </c>
      <c r="E18" s="652" t="s">
        <v>118</v>
      </c>
      <c r="F18" s="649">
        <v>1</v>
      </c>
      <c r="G18" s="654">
        <v>2.5</v>
      </c>
      <c r="H18" s="637">
        <v>10</v>
      </c>
      <c r="I18" s="241">
        <f t="shared" si="6"/>
        <v>25</v>
      </c>
      <c r="J18" s="655">
        <v>864</v>
      </c>
      <c r="K18" s="377">
        <f t="shared" si="7"/>
        <v>3.75</v>
      </c>
      <c r="L18" s="222">
        <f t="shared" si="8"/>
        <v>892.75</v>
      </c>
      <c r="M18" s="223">
        <f t="shared" si="9"/>
        <v>2.5</v>
      </c>
      <c r="N18" s="222">
        <f t="shared" si="10"/>
        <v>25</v>
      </c>
      <c r="O18" s="222">
        <f t="shared" si="11"/>
        <v>864</v>
      </c>
      <c r="P18" s="222">
        <f t="shared" si="12"/>
        <v>3.75</v>
      </c>
      <c r="Q18" s="250">
        <f t="shared" si="13"/>
        <v>892.75</v>
      </c>
    </row>
    <row r="19" spans="1:17" s="56" customFormat="1">
      <c r="A19" s="646">
        <v>4</v>
      </c>
      <c r="B19" s="741"/>
      <c r="C19" s="653" t="s">
        <v>1485</v>
      </c>
      <c r="D19" s="651" t="s">
        <v>1547</v>
      </c>
      <c r="E19" s="652" t="s">
        <v>118</v>
      </c>
      <c r="F19" s="649">
        <v>3</v>
      </c>
      <c r="G19" s="654">
        <v>2.5</v>
      </c>
      <c r="H19" s="637">
        <v>10</v>
      </c>
      <c r="I19" s="241">
        <f t="shared" si="6"/>
        <v>25</v>
      </c>
      <c r="J19" s="655">
        <v>292.5</v>
      </c>
      <c r="K19" s="377">
        <f t="shared" si="7"/>
        <v>3.75</v>
      </c>
      <c r="L19" s="222">
        <f t="shared" si="8"/>
        <v>321.25</v>
      </c>
      <c r="M19" s="223">
        <f t="shared" si="9"/>
        <v>7.5</v>
      </c>
      <c r="N19" s="222">
        <f t="shared" si="10"/>
        <v>75</v>
      </c>
      <c r="O19" s="222">
        <f t="shared" si="11"/>
        <v>877.5</v>
      </c>
      <c r="P19" s="222">
        <f t="shared" si="12"/>
        <v>11.25</v>
      </c>
      <c r="Q19" s="250">
        <f t="shared" si="13"/>
        <v>963.75</v>
      </c>
    </row>
    <row r="20" spans="1:17" s="56" customFormat="1">
      <c r="A20" s="646">
        <v>5</v>
      </c>
      <c r="B20" s="741"/>
      <c r="C20" s="653" t="s">
        <v>1486</v>
      </c>
      <c r="D20" s="651" t="s">
        <v>1548</v>
      </c>
      <c r="E20" s="652" t="s">
        <v>118</v>
      </c>
      <c r="F20" s="649">
        <v>1</v>
      </c>
      <c r="G20" s="654">
        <v>2.5</v>
      </c>
      <c r="H20" s="637">
        <v>10</v>
      </c>
      <c r="I20" s="241">
        <f t="shared" si="6"/>
        <v>25</v>
      </c>
      <c r="J20" s="655">
        <v>141.1</v>
      </c>
      <c r="K20" s="377">
        <f t="shared" si="7"/>
        <v>3.75</v>
      </c>
      <c r="L20" s="222">
        <f t="shared" si="8"/>
        <v>169.85</v>
      </c>
      <c r="M20" s="223">
        <f t="shared" si="9"/>
        <v>2.5</v>
      </c>
      <c r="N20" s="222">
        <f t="shared" si="10"/>
        <v>25</v>
      </c>
      <c r="O20" s="222">
        <f t="shared" si="11"/>
        <v>141.1</v>
      </c>
      <c r="P20" s="222">
        <f t="shared" si="12"/>
        <v>3.75</v>
      </c>
      <c r="Q20" s="250">
        <f t="shared" si="13"/>
        <v>169.85</v>
      </c>
    </row>
    <row r="21" spans="1:17" s="56" customFormat="1">
      <c r="A21" s="646">
        <v>6</v>
      </c>
      <c r="B21" s="741"/>
      <c r="C21" s="653" t="s">
        <v>1487</v>
      </c>
      <c r="D21" s="651" t="s">
        <v>1549</v>
      </c>
      <c r="E21" s="652" t="s">
        <v>118</v>
      </c>
      <c r="F21" s="649">
        <v>1</v>
      </c>
      <c r="G21" s="654">
        <v>2.5</v>
      </c>
      <c r="H21" s="637">
        <v>10</v>
      </c>
      <c r="I21" s="241">
        <f t="shared" si="6"/>
        <v>25</v>
      </c>
      <c r="J21" s="655">
        <v>40.200000000000003</v>
      </c>
      <c r="K21" s="377">
        <f t="shared" si="7"/>
        <v>3.75</v>
      </c>
      <c r="L21" s="222">
        <f t="shared" si="8"/>
        <v>68.95</v>
      </c>
      <c r="M21" s="223">
        <f t="shared" si="9"/>
        <v>2.5</v>
      </c>
      <c r="N21" s="222">
        <f t="shared" si="10"/>
        <v>25</v>
      </c>
      <c r="O21" s="222">
        <f t="shared" si="11"/>
        <v>40.200000000000003</v>
      </c>
      <c r="P21" s="222">
        <f t="shared" si="12"/>
        <v>3.75</v>
      </c>
      <c r="Q21" s="250">
        <f t="shared" si="13"/>
        <v>68.95</v>
      </c>
    </row>
    <row r="22" spans="1:17" s="56" customFormat="1">
      <c r="A22" s="646">
        <v>7</v>
      </c>
      <c r="B22" s="741"/>
      <c r="C22" s="653" t="s">
        <v>1488</v>
      </c>
      <c r="D22" s="651" t="s">
        <v>1550</v>
      </c>
      <c r="E22" s="652" t="s">
        <v>118</v>
      </c>
      <c r="F22" s="649">
        <v>4</v>
      </c>
      <c r="G22" s="654">
        <v>2.5</v>
      </c>
      <c r="H22" s="637">
        <v>10</v>
      </c>
      <c r="I22" s="241">
        <f t="shared" si="6"/>
        <v>25</v>
      </c>
      <c r="J22" s="655">
        <v>237.79999999999998</v>
      </c>
      <c r="K22" s="377">
        <f t="shared" si="7"/>
        <v>3.75</v>
      </c>
      <c r="L22" s="222">
        <f t="shared" si="8"/>
        <v>266.54999999999995</v>
      </c>
      <c r="M22" s="223">
        <f t="shared" si="9"/>
        <v>10</v>
      </c>
      <c r="N22" s="222">
        <f t="shared" si="10"/>
        <v>100</v>
      </c>
      <c r="O22" s="222">
        <f t="shared" si="11"/>
        <v>951.2</v>
      </c>
      <c r="P22" s="222">
        <f t="shared" si="12"/>
        <v>15</v>
      </c>
      <c r="Q22" s="250">
        <f t="shared" si="13"/>
        <v>1066.2</v>
      </c>
    </row>
    <row r="23" spans="1:17" s="56" customFormat="1">
      <c r="A23" s="646">
        <v>8</v>
      </c>
      <c r="B23" s="741"/>
      <c r="C23" s="653" t="s">
        <v>1489</v>
      </c>
      <c r="D23" s="651" t="s">
        <v>1551</v>
      </c>
      <c r="E23" s="652" t="s">
        <v>118</v>
      </c>
      <c r="F23" s="649">
        <v>2</v>
      </c>
      <c r="G23" s="654">
        <v>2.5</v>
      </c>
      <c r="H23" s="637">
        <v>10</v>
      </c>
      <c r="I23" s="241">
        <f t="shared" si="6"/>
        <v>25</v>
      </c>
      <c r="J23" s="655">
        <v>164.79999999999998</v>
      </c>
      <c r="K23" s="377">
        <f t="shared" si="7"/>
        <v>3.75</v>
      </c>
      <c r="L23" s="222">
        <f t="shared" si="8"/>
        <v>193.54999999999998</v>
      </c>
      <c r="M23" s="223">
        <f t="shared" si="9"/>
        <v>5</v>
      </c>
      <c r="N23" s="222">
        <f t="shared" si="10"/>
        <v>50</v>
      </c>
      <c r="O23" s="222">
        <f t="shared" si="11"/>
        <v>329.6</v>
      </c>
      <c r="P23" s="222">
        <f t="shared" si="12"/>
        <v>7.5</v>
      </c>
      <c r="Q23" s="250">
        <f t="shared" si="13"/>
        <v>387.1</v>
      </c>
    </row>
    <row r="24" spans="1:17" s="56" customFormat="1">
      <c r="A24" s="646">
        <v>9</v>
      </c>
      <c r="B24" s="741"/>
      <c r="C24" s="653" t="s">
        <v>1490</v>
      </c>
      <c r="D24" s="651" t="s">
        <v>1552</v>
      </c>
      <c r="E24" s="652" t="s">
        <v>118</v>
      </c>
      <c r="F24" s="649">
        <v>4</v>
      </c>
      <c r="G24" s="654">
        <v>2.5</v>
      </c>
      <c r="H24" s="637">
        <v>10</v>
      </c>
      <c r="I24" s="241">
        <f t="shared" si="6"/>
        <v>25</v>
      </c>
      <c r="J24" s="655">
        <v>180.6</v>
      </c>
      <c r="K24" s="377">
        <f t="shared" si="7"/>
        <v>3.75</v>
      </c>
      <c r="L24" s="222">
        <f t="shared" si="8"/>
        <v>209.35</v>
      </c>
      <c r="M24" s="223">
        <f t="shared" si="9"/>
        <v>10</v>
      </c>
      <c r="N24" s="222">
        <f t="shared" si="10"/>
        <v>100</v>
      </c>
      <c r="O24" s="222">
        <f t="shared" si="11"/>
        <v>722.4</v>
      </c>
      <c r="P24" s="222">
        <f t="shared" si="12"/>
        <v>15</v>
      </c>
      <c r="Q24" s="250">
        <f t="shared" si="13"/>
        <v>837.4</v>
      </c>
    </row>
    <row r="25" spans="1:17" s="56" customFormat="1" ht="24.9">
      <c r="A25" s="646">
        <v>10</v>
      </c>
      <c r="B25" s="741"/>
      <c r="C25" s="653" t="s">
        <v>1491</v>
      </c>
      <c r="D25" s="651" t="s">
        <v>1553</v>
      </c>
      <c r="E25" s="652" t="s">
        <v>118</v>
      </c>
      <c r="F25" s="649">
        <v>1</v>
      </c>
      <c r="G25" s="219">
        <v>4.5</v>
      </c>
      <c r="H25" s="637">
        <v>10</v>
      </c>
      <c r="I25" s="241">
        <f t="shared" si="6"/>
        <v>45</v>
      </c>
      <c r="J25" s="656">
        <v>458.66</v>
      </c>
      <c r="K25" s="377">
        <f t="shared" si="7"/>
        <v>6.75</v>
      </c>
      <c r="L25" s="222">
        <f t="shared" si="8"/>
        <v>510.41</v>
      </c>
      <c r="M25" s="223">
        <f t="shared" si="9"/>
        <v>4.5</v>
      </c>
      <c r="N25" s="222">
        <f t="shared" si="10"/>
        <v>45</v>
      </c>
      <c r="O25" s="222">
        <f t="shared" si="11"/>
        <v>458.66</v>
      </c>
      <c r="P25" s="222">
        <f t="shared" si="12"/>
        <v>6.75</v>
      </c>
      <c r="Q25" s="250">
        <f t="shared" si="13"/>
        <v>510.41</v>
      </c>
    </row>
    <row r="26" spans="1:17" s="56" customFormat="1">
      <c r="A26" s="646">
        <v>11</v>
      </c>
      <c r="B26" s="741"/>
      <c r="C26" s="653" t="s">
        <v>1492</v>
      </c>
      <c r="D26" s="651" t="s">
        <v>1554</v>
      </c>
      <c r="E26" s="652" t="s">
        <v>118</v>
      </c>
      <c r="F26" s="649">
        <v>1</v>
      </c>
      <c r="G26" s="642">
        <v>0.5</v>
      </c>
      <c r="H26" s="637">
        <v>10</v>
      </c>
      <c r="I26" s="640">
        <f t="shared" si="6"/>
        <v>5</v>
      </c>
      <c r="J26" s="640">
        <v>200.8</v>
      </c>
      <c r="K26" s="641">
        <f t="shared" si="7"/>
        <v>0.75</v>
      </c>
      <c r="L26" s="222">
        <f t="shared" si="8"/>
        <v>206.55</v>
      </c>
      <c r="M26" s="223">
        <f t="shared" si="9"/>
        <v>0.5</v>
      </c>
      <c r="N26" s="222">
        <f t="shared" si="10"/>
        <v>5</v>
      </c>
      <c r="O26" s="222">
        <f t="shared" si="11"/>
        <v>200.8</v>
      </c>
      <c r="P26" s="222">
        <f t="shared" si="12"/>
        <v>0.75</v>
      </c>
      <c r="Q26" s="250">
        <f t="shared" si="13"/>
        <v>206.55</v>
      </c>
    </row>
    <row r="27" spans="1:17" s="56" customFormat="1" ht="24.9">
      <c r="A27" s="646">
        <v>12</v>
      </c>
      <c r="B27" s="741"/>
      <c r="C27" s="657" t="s">
        <v>1493</v>
      </c>
      <c r="D27" s="658" t="s">
        <v>1555</v>
      </c>
      <c r="E27" s="652" t="s">
        <v>118</v>
      </c>
      <c r="F27" s="649">
        <v>4</v>
      </c>
      <c r="G27" s="637">
        <v>2.9699999999999998</v>
      </c>
      <c r="H27" s="637">
        <v>10</v>
      </c>
      <c r="I27" s="637">
        <f t="shared" si="6"/>
        <v>29.7</v>
      </c>
      <c r="J27" s="656">
        <v>117</v>
      </c>
      <c r="K27" s="377">
        <f>I27*0.15</f>
        <v>4.4550000000000001</v>
      </c>
      <c r="L27" s="222">
        <f t="shared" si="8"/>
        <v>151.155</v>
      </c>
      <c r="M27" s="223">
        <f t="shared" si="9"/>
        <v>11.88</v>
      </c>
      <c r="N27" s="222">
        <f t="shared" si="10"/>
        <v>118.8</v>
      </c>
      <c r="O27" s="222">
        <f t="shared" si="11"/>
        <v>468</v>
      </c>
      <c r="P27" s="222">
        <f t="shared" si="12"/>
        <v>17.82</v>
      </c>
      <c r="Q27" s="250">
        <f t="shared" si="13"/>
        <v>604.62</v>
      </c>
    </row>
    <row r="28" spans="1:17" s="56" customFormat="1">
      <c r="A28" s="646">
        <v>13</v>
      </c>
      <c r="B28" s="741"/>
      <c r="C28" s="650" t="s">
        <v>1494</v>
      </c>
      <c r="D28" s="651"/>
      <c r="E28" s="652" t="s">
        <v>136</v>
      </c>
      <c r="F28" s="649">
        <v>1</v>
      </c>
      <c r="G28" s="659">
        <v>200</v>
      </c>
      <c r="H28" s="643">
        <v>10</v>
      </c>
      <c r="I28" s="240">
        <f t="shared" si="6"/>
        <v>2000</v>
      </c>
      <c r="J28" s="660"/>
      <c r="K28" s="377">
        <f t="shared" ref="K28:K35" si="14">I28*0.15</f>
        <v>300</v>
      </c>
      <c r="L28" s="222">
        <f t="shared" si="8"/>
        <v>2300</v>
      </c>
      <c r="M28" s="223">
        <f t="shared" si="9"/>
        <v>200</v>
      </c>
      <c r="N28" s="222">
        <f t="shared" si="10"/>
        <v>2000</v>
      </c>
      <c r="O28" s="222">
        <f t="shared" si="11"/>
        <v>0</v>
      </c>
      <c r="P28" s="222">
        <f t="shared" si="12"/>
        <v>300</v>
      </c>
      <c r="Q28" s="250">
        <f t="shared" si="13"/>
        <v>2300</v>
      </c>
    </row>
    <row r="29" spans="1:17" s="56" customFormat="1">
      <c r="A29" s="646">
        <v>14</v>
      </c>
      <c r="B29" s="741"/>
      <c r="C29" s="661" t="s">
        <v>1495</v>
      </c>
      <c r="D29" s="651"/>
      <c r="E29" s="652" t="s">
        <v>136</v>
      </c>
      <c r="F29" s="649">
        <v>1</v>
      </c>
      <c r="G29" s="659">
        <v>100</v>
      </c>
      <c r="H29" s="643">
        <v>10</v>
      </c>
      <c r="I29" s="240">
        <f t="shared" si="6"/>
        <v>1000</v>
      </c>
      <c r="J29" s="316"/>
      <c r="K29" s="377">
        <f t="shared" si="14"/>
        <v>150</v>
      </c>
      <c r="L29" s="222">
        <f t="shared" si="8"/>
        <v>1150</v>
      </c>
      <c r="M29" s="223">
        <f t="shared" si="9"/>
        <v>100</v>
      </c>
      <c r="N29" s="222">
        <f t="shared" si="10"/>
        <v>1000</v>
      </c>
      <c r="O29" s="222">
        <f t="shared" si="11"/>
        <v>0</v>
      </c>
      <c r="P29" s="222">
        <f t="shared" si="12"/>
        <v>150</v>
      </c>
      <c r="Q29" s="250">
        <f t="shared" si="13"/>
        <v>1150</v>
      </c>
    </row>
    <row r="30" spans="1:17" s="56" customFormat="1">
      <c r="A30" s="646">
        <v>15</v>
      </c>
      <c r="B30" s="741"/>
      <c r="C30" s="650" t="s">
        <v>1496</v>
      </c>
      <c r="D30" s="651"/>
      <c r="E30" s="652" t="s">
        <v>136</v>
      </c>
      <c r="F30" s="649">
        <v>4</v>
      </c>
      <c r="G30" s="659">
        <v>95</v>
      </c>
      <c r="H30" s="643">
        <v>10</v>
      </c>
      <c r="I30" s="240">
        <f t="shared" si="6"/>
        <v>950</v>
      </c>
      <c r="J30" s="316"/>
      <c r="K30" s="377">
        <f t="shared" si="14"/>
        <v>142.5</v>
      </c>
      <c r="L30" s="222">
        <f t="shared" si="8"/>
        <v>1092.5</v>
      </c>
      <c r="M30" s="223">
        <f t="shared" si="9"/>
        <v>380</v>
      </c>
      <c r="N30" s="222">
        <f t="shared" si="10"/>
        <v>3800</v>
      </c>
      <c r="O30" s="222">
        <f t="shared" si="11"/>
        <v>0</v>
      </c>
      <c r="P30" s="222">
        <f t="shared" si="12"/>
        <v>570</v>
      </c>
      <c r="Q30" s="250">
        <f t="shared" si="13"/>
        <v>4370</v>
      </c>
    </row>
    <row r="31" spans="1:17" s="56" customFormat="1">
      <c r="A31" s="646">
        <v>16</v>
      </c>
      <c r="B31" s="741"/>
      <c r="C31" s="650" t="s">
        <v>1497</v>
      </c>
      <c r="D31" s="651"/>
      <c r="E31" s="652" t="s">
        <v>136</v>
      </c>
      <c r="F31" s="649">
        <v>3</v>
      </c>
      <c r="G31" s="659">
        <v>75</v>
      </c>
      <c r="H31" s="643">
        <v>10</v>
      </c>
      <c r="I31" s="240">
        <f t="shared" si="6"/>
        <v>750</v>
      </c>
      <c r="J31" s="316"/>
      <c r="K31" s="377">
        <f t="shared" si="14"/>
        <v>112.5</v>
      </c>
      <c r="L31" s="222">
        <f t="shared" si="8"/>
        <v>862.5</v>
      </c>
      <c r="M31" s="223">
        <f t="shared" si="9"/>
        <v>225</v>
      </c>
      <c r="N31" s="222">
        <f t="shared" si="10"/>
        <v>2250</v>
      </c>
      <c r="O31" s="222">
        <f t="shared" si="11"/>
        <v>0</v>
      </c>
      <c r="P31" s="222">
        <f t="shared" si="12"/>
        <v>337.5</v>
      </c>
      <c r="Q31" s="250">
        <f t="shared" si="13"/>
        <v>2587.5</v>
      </c>
    </row>
    <row r="32" spans="1:17" s="56" customFormat="1" ht="30.15" customHeight="1">
      <c r="A32" s="646">
        <v>17</v>
      </c>
      <c r="B32" s="741"/>
      <c r="C32" s="650" t="s">
        <v>1498</v>
      </c>
      <c r="D32" s="651"/>
      <c r="E32" s="652" t="s">
        <v>136</v>
      </c>
      <c r="F32" s="649">
        <v>1</v>
      </c>
      <c r="G32" s="659">
        <v>75</v>
      </c>
      <c r="H32" s="643">
        <v>10</v>
      </c>
      <c r="I32" s="240">
        <f t="shared" si="6"/>
        <v>750</v>
      </c>
      <c r="J32" s="316"/>
      <c r="K32" s="377">
        <f t="shared" si="14"/>
        <v>112.5</v>
      </c>
      <c r="L32" s="222">
        <f t="shared" si="8"/>
        <v>862.5</v>
      </c>
      <c r="M32" s="223">
        <f t="shared" si="9"/>
        <v>75</v>
      </c>
      <c r="N32" s="222">
        <f t="shared" si="10"/>
        <v>750</v>
      </c>
      <c r="O32" s="222">
        <f t="shared" si="11"/>
        <v>0</v>
      </c>
      <c r="P32" s="222">
        <f t="shared" si="12"/>
        <v>112.5</v>
      </c>
      <c r="Q32" s="250">
        <f t="shared" si="13"/>
        <v>862.5</v>
      </c>
    </row>
    <row r="33" spans="1:17" s="56" customFormat="1" ht="32.1" customHeight="1">
      <c r="A33" s="646">
        <v>18</v>
      </c>
      <c r="B33" s="741"/>
      <c r="C33" s="650" t="s">
        <v>1499</v>
      </c>
      <c r="D33" s="651"/>
      <c r="E33" s="652" t="s">
        <v>136</v>
      </c>
      <c r="F33" s="649">
        <v>1</v>
      </c>
      <c r="G33" s="659">
        <v>75</v>
      </c>
      <c r="H33" s="643">
        <v>10</v>
      </c>
      <c r="I33" s="240">
        <f t="shared" si="6"/>
        <v>750</v>
      </c>
      <c r="J33" s="316"/>
      <c r="K33" s="377">
        <f t="shared" si="14"/>
        <v>112.5</v>
      </c>
      <c r="L33" s="222">
        <f t="shared" si="8"/>
        <v>862.5</v>
      </c>
      <c r="M33" s="223">
        <f t="shared" si="9"/>
        <v>75</v>
      </c>
      <c r="N33" s="222">
        <f t="shared" si="10"/>
        <v>750</v>
      </c>
      <c r="O33" s="222">
        <f t="shared" si="11"/>
        <v>0</v>
      </c>
      <c r="P33" s="222">
        <f t="shared" si="12"/>
        <v>112.5</v>
      </c>
      <c r="Q33" s="250">
        <f t="shared" si="13"/>
        <v>862.5</v>
      </c>
    </row>
    <row r="34" spans="1:17" s="56" customFormat="1" ht="32.75" customHeight="1">
      <c r="A34" s="646">
        <v>19</v>
      </c>
      <c r="B34" s="741"/>
      <c r="C34" s="650" t="s">
        <v>1500</v>
      </c>
      <c r="D34" s="651"/>
      <c r="E34" s="652" t="s">
        <v>136</v>
      </c>
      <c r="F34" s="649">
        <v>1</v>
      </c>
      <c r="G34" s="659">
        <v>50</v>
      </c>
      <c r="H34" s="643">
        <v>10</v>
      </c>
      <c r="I34" s="240">
        <f t="shared" si="6"/>
        <v>500</v>
      </c>
      <c r="J34" s="316"/>
      <c r="K34" s="377">
        <f t="shared" si="14"/>
        <v>75</v>
      </c>
      <c r="L34" s="222">
        <f t="shared" si="8"/>
        <v>575</v>
      </c>
      <c r="M34" s="223">
        <f t="shared" si="9"/>
        <v>50</v>
      </c>
      <c r="N34" s="222">
        <f t="shared" si="10"/>
        <v>500</v>
      </c>
      <c r="O34" s="222">
        <f t="shared" si="11"/>
        <v>0</v>
      </c>
      <c r="P34" s="222">
        <f t="shared" si="12"/>
        <v>75</v>
      </c>
      <c r="Q34" s="250">
        <f t="shared" si="13"/>
        <v>575</v>
      </c>
    </row>
    <row r="35" spans="1:17" s="56" customFormat="1">
      <c r="A35" s="646">
        <v>20</v>
      </c>
      <c r="B35" s="741"/>
      <c r="C35" s="650" t="s">
        <v>1501</v>
      </c>
      <c r="D35" s="651"/>
      <c r="E35" s="652" t="s">
        <v>136</v>
      </c>
      <c r="F35" s="649">
        <v>1</v>
      </c>
      <c r="G35" s="659">
        <v>10</v>
      </c>
      <c r="H35" s="643">
        <v>10</v>
      </c>
      <c r="I35" s="240">
        <f t="shared" si="6"/>
        <v>100</v>
      </c>
      <c r="J35" s="316"/>
      <c r="K35" s="377">
        <f t="shared" si="14"/>
        <v>15</v>
      </c>
      <c r="L35" s="222">
        <f t="shared" si="8"/>
        <v>115</v>
      </c>
      <c r="M35" s="223">
        <f t="shared" si="9"/>
        <v>10</v>
      </c>
      <c r="N35" s="222">
        <f t="shared" si="10"/>
        <v>100</v>
      </c>
      <c r="O35" s="222">
        <f t="shared" si="11"/>
        <v>0</v>
      </c>
      <c r="P35" s="222">
        <f t="shared" si="12"/>
        <v>15</v>
      </c>
      <c r="Q35" s="250">
        <f t="shared" si="13"/>
        <v>115</v>
      </c>
    </row>
    <row r="36" spans="1:17" s="56" customFormat="1">
      <c r="A36" s="646"/>
      <c r="B36" s="741"/>
      <c r="C36" s="647" t="s">
        <v>1502</v>
      </c>
      <c r="D36" s="658"/>
      <c r="E36" s="649"/>
      <c r="F36" s="649"/>
      <c r="G36" s="741"/>
      <c r="H36" s="220"/>
      <c r="I36" s="316"/>
      <c r="J36" s="316"/>
      <c r="K36" s="316"/>
      <c r="L36" s="222">
        <f t="shared" si="8"/>
        <v>0</v>
      </c>
      <c r="M36" s="223">
        <f t="shared" si="9"/>
        <v>0</v>
      </c>
      <c r="N36" s="222">
        <f t="shared" si="10"/>
        <v>0</v>
      </c>
      <c r="O36" s="222">
        <f t="shared" si="11"/>
        <v>0</v>
      </c>
      <c r="P36" s="222">
        <f t="shared" si="12"/>
        <v>0</v>
      </c>
      <c r="Q36" s="250">
        <f t="shared" si="13"/>
        <v>0</v>
      </c>
    </row>
    <row r="37" spans="1:17" s="56" customFormat="1">
      <c r="A37" s="646">
        <v>21</v>
      </c>
      <c r="B37" s="741"/>
      <c r="C37" s="653" t="s">
        <v>1503</v>
      </c>
      <c r="D37" s="658" t="s">
        <v>1556</v>
      </c>
      <c r="E37" s="652" t="s">
        <v>118</v>
      </c>
      <c r="F37" s="649">
        <v>1</v>
      </c>
      <c r="G37" s="662">
        <v>2.5</v>
      </c>
      <c r="H37" s="637">
        <v>10</v>
      </c>
      <c r="I37" s="241">
        <f t="shared" ref="I37:I42" si="15">ROUND(G37*H37,2)</f>
        <v>25</v>
      </c>
      <c r="J37" s="663">
        <v>59.6</v>
      </c>
      <c r="K37" s="377">
        <f t="shared" ref="K37:K42" si="16">I37*0.15</f>
        <v>3.75</v>
      </c>
      <c r="L37" s="222">
        <f t="shared" si="8"/>
        <v>88.35</v>
      </c>
      <c r="M37" s="223">
        <f t="shared" si="9"/>
        <v>2.5</v>
      </c>
      <c r="N37" s="222">
        <f t="shared" si="10"/>
        <v>25</v>
      </c>
      <c r="O37" s="222">
        <f t="shared" si="11"/>
        <v>59.6</v>
      </c>
      <c r="P37" s="222">
        <f t="shared" si="12"/>
        <v>3.75</v>
      </c>
      <c r="Q37" s="250">
        <f t="shared" si="13"/>
        <v>88.35</v>
      </c>
    </row>
    <row r="38" spans="1:17" s="56" customFormat="1">
      <c r="A38" s="646">
        <v>22</v>
      </c>
      <c r="B38" s="741"/>
      <c r="C38" s="653" t="s">
        <v>1504</v>
      </c>
      <c r="D38" s="658" t="s">
        <v>1557</v>
      </c>
      <c r="E38" s="652" t="s">
        <v>118</v>
      </c>
      <c r="F38" s="649">
        <v>3</v>
      </c>
      <c r="G38" s="662">
        <v>2.5</v>
      </c>
      <c r="H38" s="637">
        <v>10</v>
      </c>
      <c r="I38" s="241">
        <f t="shared" si="15"/>
        <v>25</v>
      </c>
      <c r="J38" s="663">
        <v>24.1</v>
      </c>
      <c r="K38" s="377">
        <f t="shared" si="16"/>
        <v>3.75</v>
      </c>
      <c r="L38" s="222">
        <f t="shared" si="8"/>
        <v>52.85</v>
      </c>
      <c r="M38" s="223">
        <f t="shared" si="9"/>
        <v>7.5</v>
      </c>
      <c r="N38" s="222">
        <f t="shared" si="10"/>
        <v>75</v>
      </c>
      <c r="O38" s="222">
        <f t="shared" si="11"/>
        <v>72.3</v>
      </c>
      <c r="P38" s="222">
        <f t="shared" si="12"/>
        <v>11.25</v>
      </c>
      <c r="Q38" s="250">
        <f t="shared" si="13"/>
        <v>158.55000000000001</v>
      </c>
    </row>
    <row r="39" spans="1:17" s="56" customFormat="1" ht="37.35">
      <c r="A39" s="646">
        <v>23</v>
      </c>
      <c r="B39" s="741"/>
      <c r="C39" s="653" t="s">
        <v>1505</v>
      </c>
      <c r="D39" s="658" t="s">
        <v>1558</v>
      </c>
      <c r="E39" s="652" t="s">
        <v>118</v>
      </c>
      <c r="F39" s="649">
        <v>1</v>
      </c>
      <c r="G39" s="664">
        <v>2.5</v>
      </c>
      <c r="H39" s="637">
        <v>10</v>
      </c>
      <c r="I39" s="241">
        <f t="shared" si="15"/>
        <v>25</v>
      </c>
      <c r="J39" s="665">
        <v>301</v>
      </c>
      <c r="K39" s="377">
        <f t="shared" si="16"/>
        <v>3.75</v>
      </c>
      <c r="L39" s="222">
        <f t="shared" si="8"/>
        <v>329.75</v>
      </c>
      <c r="M39" s="223">
        <f t="shared" si="9"/>
        <v>2.5</v>
      </c>
      <c r="N39" s="222">
        <f t="shared" si="10"/>
        <v>25</v>
      </c>
      <c r="O39" s="222">
        <f t="shared" si="11"/>
        <v>301</v>
      </c>
      <c r="P39" s="222">
        <f t="shared" si="12"/>
        <v>3.75</v>
      </c>
      <c r="Q39" s="250">
        <f t="shared" si="13"/>
        <v>329.75</v>
      </c>
    </row>
    <row r="40" spans="1:17" s="56" customFormat="1" ht="24.9">
      <c r="A40" s="646">
        <v>24</v>
      </c>
      <c r="B40" s="741"/>
      <c r="C40" s="653" t="s">
        <v>1506</v>
      </c>
      <c r="D40" s="658" t="s">
        <v>1559</v>
      </c>
      <c r="E40" s="652" t="s">
        <v>118</v>
      </c>
      <c r="F40" s="649">
        <v>10</v>
      </c>
      <c r="G40" s="664">
        <v>2.5</v>
      </c>
      <c r="H40" s="637">
        <v>10</v>
      </c>
      <c r="I40" s="241">
        <f t="shared" si="15"/>
        <v>25</v>
      </c>
      <c r="J40" s="665">
        <v>186.9</v>
      </c>
      <c r="K40" s="377">
        <f t="shared" si="16"/>
        <v>3.75</v>
      </c>
      <c r="L40" s="222">
        <f t="shared" si="8"/>
        <v>215.65</v>
      </c>
      <c r="M40" s="223">
        <f t="shared" si="9"/>
        <v>25</v>
      </c>
      <c r="N40" s="222">
        <f t="shared" si="10"/>
        <v>250</v>
      </c>
      <c r="O40" s="222">
        <f t="shared" si="11"/>
        <v>1869</v>
      </c>
      <c r="P40" s="222">
        <f t="shared" si="12"/>
        <v>37.5</v>
      </c>
      <c r="Q40" s="250">
        <f t="shared" si="13"/>
        <v>2156.5</v>
      </c>
    </row>
    <row r="41" spans="1:17" s="56" customFormat="1">
      <c r="A41" s="646">
        <v>25</v>
      </c>
      <c r="B41" s="741"/>
      <c r="C41" s="653" t="s">
        <v>1507</v>
      </c>
      <c r="D41" s="658"/>
      <c r="E41" s="652" t="s">
        <v>118</v>
      </c>
      <c r="F41" s="649">
        <v>2</v>
      </c>
      <c r="G41" s="664">
        <v>2.5</v>
      </c>
      <c r="H41" s="637">
        <v>10</v>
      </c>
      <c r="I41" s="241">
        <f t="shared" si="15"/>
        <v>25</v>
      </c>
      <c r="J41" s="660">
        <v>35.65</v>
      </c>
      <c r="K41" s="377">
        <f t="shared" si="16"/>
        <v>3.75</v>
      </c>
      <c r="L41" s="222">
        <f t="shared" si="8"/>
        <v>64.400000000000006</v>
      </c>
      <c r="M41" s="223">
        <f t="shared" si="9"/>
        <v>5</v>
      </c>
      <c r="N41" s="222">
        <f t="shared" si="10"/>
        <v>50</v>
      </c>
      <c r="O41" s="222">
        <f t="shared" si="11"/>
        <v>71.3</v>
      </c>
      <c r="P41" s="222">
        <f t="shared" si="12"/>
        <v>7.5</v>
      </c>
      <c r="Q41" s="250">
        <f t="shared" si="13"/>
        <v>128.80000000000001</v>
      </c>
    </row>
    <row r="42" spans="1:17" s="56" customFormat="1">
      <c r="A42" s="646">
        <v>26</v>
      </c>
      <c r="B42" s="741"/>
      <c r="C42" s="666" t="s">
        <v>1508</v>
      </c>
      <c r="D42" s="658"/>
      <c r="E42" s="652" t="s">
        <v>136</v>
      </c>
      <c r="F42" s="649">
        <v>1</v>
      </c>
      <c r="G42" s="664">
        <v>0.8</v>
      </c>
      <c r="H42" s="637">
        <v>10</v>
      </c>
      <c r="I42" s="637">
        <f t="shared" si="15"/>
        <v>8</v>
      </c>
      <c r="J42" s="660">
        <v>500</v>
      </c>
      <c r="K42" s="377">
        <f t="shared" si="16"/>
        <v>1.2</v>
      </c>
      <c r="L42" s="222">
        <f t="shared" si="8"/>
        <v>509.2</v>
      </c>
      <c r="M42" s="223">
        <f t="shared" si="9"/>
        <v>0.8</v>
      </c>
      <c r="N42" s="222">
        <f t="shared" si="10"/>
        <v>8</v>
      </c>
      <c r="O42" s="222">
        <f t="shared" si="11"/>
        <v>500</v>
      </c>
      <c r="P42" s="222">
        <f t="shared" si="12"/>
        <v>1.2</v>
      </c>
      <c r="Q42" s="250">
        <f t="shared" si="13"/>
        <v>509.2</v>
      </c>
    </row>
    <row r="43" spans="1:17" s="56" customFormat="1">
      <c r="A43" s="646"/>
      <c r="B43" s="741"/>
      <c r="C43" s="647" t="s">
        <v>1481</v>
      </c>
      <c r="D43" s="658"/>
      <c r="E43" s="649"/>
      <c r="F43" s="649"/>
      <c r="G43" s="664"/>
      <c r="H43" s="220"/>
      <c r="I43" s="316"/>
      <c r="J43" s="316"/>
      <c r="K43" s="316"/>
      <c r="L43" s="222">
        <f t="shared" si="8"/>
        <v>0</v>
      </c>
      <c r="M43" s="223">
        <f t="shared" si="9"/>
        <v>0</v>
      </c>
      <c r="N43" s="222">
        <f t="shared" si="10"/>
        <v>0</v>
      </c>
      <c r="O43" s="222">
        <f t="shared" si="11"/>
        <v>0</v>
      </c>
      <c r="P43" s="222">
        <f t="shared" si="12"/>
        <v>0</v>
      </c>
      <c r="Q43" s="250">
        <f t="shared" si="13"/>
        <v>0</v>
      </c>
    </row>
    <row r="44" spans="1:17" s="56" customFormat="1" ht="174.15">
      <c r="A44" s="646">
        <v>27</v>
      </c>
      <c r="B44" s="741"/>
      <c r="C44" s="650" t="s">
        <v>1509</v>
      </c>
      <c r="D44" s="651" t="s">
        <v>1560</v>
      </c>
      <c r="E44" s="652" t="s">
        <v>136</v>
      </c>
      <c r="F44" s="649">
        <v>1</v>
      </c>
      <c r="G44" s="637">
        <v>99</v>
      </c>
      <c r="H44" s="637">
        <v>10</v>
      </c>
      <c r="I44" s="241">
        <f t="shared" ref="I44:I54" si="17">ROUND(G44*H44,2)</f>
        <v>990</v>
      </c>
      <c r="J44" s="643">
        <v>700</v>
      </c>
      <c r="K44" s="377">
        <f t="shared" ref="K44:K54" si="18">I44*0.15</f>
        <v>148.5</v>
      </c>
      <c r="L44" s="222">
        <f t="shared" si="8"/>
        <v>1838.5</v>
      </c>
      <c r="M44" s="223">
        <f t="shared" si="9"/>
        <v>99</v>
      </c>
      <c r="N44" s="222">
        <f t="shared" si="10"/>
        <v>990</v>
      </c>
      <c r="O44" s="222">
        <f t="shared" si="11"/>
        <v>700</v>
      </c>
      <c r="P44" s="222">
        <f t="shared" si="12"/>
        <v>148.5</v>
      </c>
      <c r="Q44" s="250">
        <f t="shared" si="13"/>
        <v>1838.5</v>
      </c>
    </row>
    <row r="45" spans="1:17" s="56" customFormat="1" ht="24.9">
      <c r="A45" s="646">
        <v>28</v>
      </c>
      <c r="B45" s="741"/>
      <c r="C45" s="657" t="s">
        <v>1510</v>
      </c>
      <c r="D45" s="651" t="s">
        <v>1561</v>
      </c>
      <c r="E45" s="652" t="s">
        <v>118</v>
      </c>
      <c r="F45" s="649">
        <v>1</v>
      </c>
      <c r="G45" s="667">
        <v>2.5</v>
      </c>
      <c r="H45" s="637">
        <v>10</v>
      </c>
      <c r="I45" s="241">
        <f t="shared" si="17"/>
        <v>25</v>
      </c>
      <c r="J45" s="665">
        <v>162</v>
      </c>
      <c r="K45" s="377">
        <f t="shared" si="18"/>
        <v>3.75</v>
      </c>
      <c r="L45" s="222">
        <f t="shared" si="8"/>
        <v>190.75</v>
      </c>
      <c r="M45" s="223">
        <f t="shared" si="9"/>
        <v>2.5</v>
      </c>
      <c r="N45" s="222">
        <f t="shared" si="10"/>
        <v>25</v>
      </c>
      <c r="O45" s="222">
        <f t="shared" si="11"/>
        <v>162</v>
      </c>
      <c r="P45" s="222">
        <f t="shared" si="12"/>
        <v>3.75</v>
      </c>
      <c r="Q45" s="250">
        <f t="shared" si="13"/>
        <v>190.75</v>
      </c>
    </row>
    <row r="46" spans="1:17" s="56" customFormat="1">
      <c r="A46" s="646">
        <v>29</v>
      </c>
      <c r="B46" s="741"/>
      <c r="C46" s="653" t="s">
        <v>1511</v>
      </c>
      <c r="D46" s="651" t="s">
        <v>1562</v>
      </c>
      <c r="E46" s="652" t="s">
        <v>118</v>
      </c>
      <c r="F46" s="649">
        <v>1</v>
      </c>
      <c r="G46" s="644">
        <v>0.6</v>
      </c>
      <c r="H46" s="637">
        <v>10</v>
      </c>
      <c r="I46" s="640">
        <f t="shared" si="17"/>
        <v>6</v>
      </c>
      <c r="J46" s="640">
        <v>14.66</v>
      </c>
      <c r="K46" s="641">
        <f t="shared" si="18"/>
        <v>0.89999999999999991</v>
      </c>
      <c r="L46" s="222">
        <f t="shared" si="8"/>
        <v>21.56</v>
      </c>
      <c r="M46" s="223">
        <f t="shared" si="9"/>
        <v>0.6</v>
      </c>
      <c r="N46" s="222">
        <f t="shared" si="10"/>
        <v>6</v>
      </c>
      <c r="O46" s="222">
        <f t="shared" si="11"/>
        <v>14.66</v>
      </c>
      <c r="P46" s="222">
        <f t="shared" si="12"/>
        <v>0.9</v>
      </c>
      <c r="Q46" s="250">
        <f t="shared" si="13"/>
        <v>21.56</v>
      </c>
    </row>
    <row r="47" spans="1:17" s="56" customFormat="1">
      <c r="A47" s="646">
        <v>30</v>
      </c>
      <c r="B47" s="741"/>
      <c r="C47" s="653" t="s">
        <v>1512</v>
      </c>
      <c r="D47" s="651" t="s">
        <v>1563</v>
      </c>
      <c r="E47" s="652" t="s">
        <v>118</v>
      </c>
      <c r="F47" s="649">
        <v>2</v>
      </c>
      <c r="G47" s="639">
        <v>3</v>
      </c>
      <c r="H47" s="637">
        <v>10</v>
      </c>
      <c r="I47" s="640">
        <f t="shared" si="17"/>
        <v>30</v>
      </c>
      <c r="J47" s="640">
        <v>156</v>
      </c>
      <c r="K47" s="641">
        <f t="shared" si="18"/>
        <v>4.5</v>
      </c>
      <c r="L47" s="222">
        <f t="shared" si="8"/>
        <v>190.5</v>
      </c>
      <c r="M47" s="223">
        <f t="shared" si="9"/>
        <v>6</v>
      </c>
      <c r="N47" s="222">
        <f t="shared" si="10"/>
        <v>60</v>
      </c>
      <c r="O47" s="222">
        <f t="shared" si="11"/>
        <v>312</v>
      </c>
      <c r="P47" s="222">
        <f t="shared" si="12"/>
        <v>9</v>
      </c>
      <c r="Q47" s="250">
        <f t="shared" si="13"/>
        <v>381</v>
      </c>
    </row>
    <row r="48" spans="1:17" s="56" customFormat="1" ht="24.9">
      <c r="A48" s="646">
        <v>31</v>
      </c>
      <c r="B48" s="741"/>
      <c r="C48" s="653" t="s">
        <v>1513</v>
      </c>
      <c r="D48" s="651" t="s">
        <v>1564</v>
      </c>
      <c r="E48" s="652" t="s">
        <v>118</v>
      </c>
      <c r="F48" s="649">
        <v>2</v>
      </c>
      <c r="G48" s="645">
        <v>0.6</v>
      </c>
      <c r="H48" s="637">
        <v>10</v>
      </c>
      <c r="I48" s="640">
        <f t="shared" si="17"/>
        <v>6</v>
      </c>
      <c r="J48" s="640">
        <v>12.56</v>
      </c>
      <c r="K48" s="641">
        <f t="shared" si="18"/>
        <v>0.89999999999999991</v>
      </c>
      <c r="L48" s="222">
        <f t="shared" si="8"/>
        <v>19.46</v>
      </c>
      <c r="M48" s="223">
        <f t="shared" si="9"/>
        <v>1.2</v>
      </c>
      <c r="N48" s="222">
        <f t="shared" si="10"/>
        <v>12</v>
      </c>
      <c r="O48" s="222">
        <f t="shared" si="11"/>
        <v>25.12</v>
      </c>
      <c r="P48" s="222">
        <f t="shared" si="12"/>
        <v>1.8</v>
      </c>
      <c r="Q48" s="250">
        <f t="shared" si="13"/>
        <v>38.92</v>
      </c>
    </row>
    <row r="49" spans="1:17" s="56" customFormat="1">
      <c r="A49" s="646">
        <v>32</v>
      </c>
      <c r="B49" s="741"/>
      <c r="C49" s="653" t="s">
        <v>1514</v>
      </c>
      <c r="D49" s="651" t="s">
        <v>1565</v>
      </c>
      <c r="E49" s="652" t="s">
        <v>118</v>
      </c>
      <c r="F49" s="649">
        <v>1</v>
      </c>
      <c r="G49" s="644">
        <v>0.6</v>
      </c>
      <c r="H49" s="637">
        <v>10</v>
      </c>
      <c r="I49" s="640">
        <f t="shared" si="17"/>
        <v>6</v>
      </c>
      <c r="J49" s="640">
        <v>9.65</v>
      </c>
      <c r="K49" s="641">
        <f t="shared" si="18"/>
        <v>0.89999999999999991</v>
      </c>
      <c r="L49" s="222">
        <f t="shared" si="8"/>
        <v>16.55</v>
      </c>
      <c r="M49" s="223">
        <f t="shared" si="9"/>
        <v>0.6</v>
      </c>
      <c r="N49" s="222">
        <f t="shared" si="10"/>
        <v>6</v>
      </c>
      <c r="O49" s="222">
        <f t="shared" si="11"/>
        <v>9.65</v>
      </c>
      <c r="P49" s="222">
        <f t="shared" si="12"/>
        <v>0.9</v>
      </c>
      <c r="Q49" s="250">
        <f t="shared" si="13"/>
        <v>16.55</v>
      </c>
    </row>
    <row r="50" spans="1:17" s="56" customFormat="1">
      <c r="A50" s="646">
        <v>33</v>
      </c>
      <c r="B50" s="741"/>
      <c r="C50" s="653" t="s">
        <v>1515</v>
      </c>
      <c r="D50" s="651" t="s">
        <v>1566</v>
      </c>
      <c r="E50" s="652" t="s">
        <v>118</v>
      </c>
      <c r="F50" s="649">
        <v>1</v>
      </c>
      <c r="G50" s="639">
        <v>3.5</v>
      </c>
      <c r="H50" s="637">
        <v>10</v>
      </c>
      <c r="I50" s="640">
        <f t="shared" si="17"/>
        <v>35</v>
      </c>
      <c r="J50" s="640">
        <v>39.78</v>
      </c>
      <c r="K50" s="641">
        <f t="shared" si="18"/>
        <v>5.25</v>
      </c>
      <c r="L50" s="222">
        <f t="shared" si="8"/>
        <v>80.03</v>
      </c>
      <c r="M50" s="223">
        <f t="shared" si="9"/>
        <v>3.5</v>
      </c>
      <c r="N50" s="222">
        <f t="shared" si="10"/>
        <v>35</v>
      </c>
      <c r="O50" s="222">
        <f t="shared" si="11"/>
        <v>39.78</v>
      </c>
      <c r="P50" s="222">
        <f t="shared" si="12"/>
        <v>5.25</v>
      </c>
      <c r="Q50" s="250">
        <f t="shared" si="13"/>
        <v>80.03</v>
      </c>
    </row>
    <row r="51" spans="1:17" s="56" customFormat="1" ht="37.35">
      <c r="A51" s="646">
        <v>34</v>
      </c>
      <c r="B51" s="741"/>
      <c r="C51" s="653" t="s">
        <v>1516</v>
      </c>
      <c r="D51" s="651" t="s">
        <v>1567</v>
      </c>
      <c r="E51" s="652" t="s">
        <v>136</v>
      </c>
      <c r="F51" s="649">
        <v>1</v>
      </c>
      <c r="G51" s="637">
        <v>5</v>
      </c>
      <c r="H51" s="637">
        <v>10</v>
      </c>
      <c r="I51" s="637">
        <f t="shared" si="17"/>
        <v>50</v>
      </c>
      <c r="J51" s="668">
        <v>1860</v>
      </c>
      <c r="K51" s="377">
        <f t="shared" si="18"/>
        <v>7.5</v>
      </c>
      <c r="L51" s="222">
        <f t="shared" si="8"/>
        <v>1917.5</v>
      </c>
      <c r="M51" s="223">
        <f t="shared" si="9"/>
        <v>5</v>
      </c>
      <c r="N51" s="222">
        <f t="shared" si="10"/>
        <v>50</v>
      </c>
      <c r="O51" s="222">
        <f t="shared" si="11"/>
        <v>1860</v>
      </c>
      <c r="P51" s="222">
        <f t="shared" si="12"/>
        <v>7.5</v>
      </c>
      <c r="Q51" s="250">
        <f t="shared" si="13"/>
        <v>1917.5</v>
      </c>
    </row>
    <row r="52" spans="1:17" s="56" customFormat="1" ht="24.9">
      <c r="A52" s="646">
        <v>35</v>
      </c>
      <c r="B52" s="741"/>
      <c r="C52" s="653" t="s">
        <v>1491</v>
      </c>
      <c r="D52" s="651" t="s">
        <v>1553</v>
      </c>
      <c r="E52" s="652" t="s">
        <v>118</v>
      </c>
      <c r="F52" s="649">
        <v>1</v>
      </c>
      <c r="G52" s="219">
        <v>4.5</v>
      </c>
      <c r="H52" s="637">
        <v>10</v>
      </c>
      <c r="I52" s="241">
        <f t="shared" si="17"/>
        <v>45</v>
      </c>
      <c r="J52" s="656">
        <v>458.66</v>
      </c>
      <c r="K52" s="377">
        <f t="shared" si="18"/>
        <v>6.75</v>
      </c>
      <c r="L52" s="222">
        <f t="shared" si="8"/>
        <v>510.41</v>
      </c>
      <c r="M52" s="223">
        <f t="shared" si="9"/>
        <v>4.5</v>
      </c>
      <c r="N52" s="222">
        <f t="shared" si="10"/>
        <v>45</v>
      </c>
      <c r="O52" s="222">
        <f t="shared" si="11"/>
        <v>458.66</v>
      </c>
      <c r="P52" s="222">
        <f t="shared" si="12"/>
        <v>6.75</v>
      </c>
      <c r="Q52" s="250">
        <f t="shared" si="13"/>
        <v>510.41</v>
      </c>
    </row>
    <row r="53" spans="1:17" s="56" customFormat="1">
      <c r="A53" s="646">
        <v>36</v>
      </c>
      <c r="B53" s="741"/>
      <c r="C53" s="650" t="s">
        <v>1494</v>
      </c>
      <c r="D53" s="651"/>
      <c r="E53" s="652" t="s">
        <v>136</v>
      </c>
      <c r="F53" s="649">
        <v>1</v>
      </c>
      <c r="G53" s="659">
        <v>200</v>
      </c>
      <c r="H53" s="643">
        <v>10</v>
      </c>
      <c r="I53" s="240">
        <f t="shared" si="17"/>
        <v>2000</v>
      </c>
      <c r="J53" s="660"/>
      <c r="K53" s="377">
        <f t="shared" si="18"/>
        <v>300</v>
      </c>
      <c r="L53" s="222">
        <f t="shared" si="8"/>
        <v>2300</v>
      </c>
      <c r="M53" s="223">
        <f t="shared" si="9"/>
        <v>200</v>
      </c>
      <c r="N53" s="222">
        <f t="shared" si="10"/>
        <v>2000</v>
      </c>
      <c r="O53" s="222">
        <f t="shared" si="11"/>
        <v>0</v>
      </c>
      <c r="P53" s="222">
        <f t="shared" si="12"/>
        <v>300</v>
      </c>
      <c r="Q53" s="250">
        <f t="shared" si="13"/>
        <v>2300</v>
      </c>
    </row>
    <row r="54" spans="1:17" s="56" customFormat="1">
      <c r="A54" s="646">
        <v>37</v>
      </c>
      <c r="B54" s="741"/>
      <c r="C54" s="650" t="s">
        <v>1517</v>
      </c>
      <c r="D54" s="651"/>
      <c r="E54" s="652" t="s">
        <v>136</v>
      </c>
      <c r="F54" s="649">
        <v>1</v>
      </c>
      <c r="G54" s="659">
        <v>55</v>
      </c>
      <c r="H54" s="643">
        <v>10</v>
      </c>
      <c r="I54" s="240">
        <f t="shared" si="17"/>
        <v>550</v>
      </c>
      <c r="J54" s="316"/>
      <c r="K54" s="377">
        <f t="shared" si="18"/>
        <v>82.5</v>
      </c>
      <c r="L54" s="222">
        <f t="shared" si="8"/>
        <v>632.5</v>
      </c>
      <c r="M54" s="223">
        <f t="shared" si="9"/>
        <v>55</v>
      </c>
      <c r="N54" s="222">
        <f t="shared" si="10"/>
        <v>550</v>
      </c>
      <c r="O54" s="222">
        <f t="shared" si="11"/>
        <v>0</v>
      </c>
      <c r="P54" s="222">
        <f t="shared" si="12"/>
        <v>82.5</v>
      </c>
      <c r="Q54" s="250">
        <f t="shared" si="13"/>
        <v>632.5</v>
      </c>
    </row>
    <row r="55" spans="1:17" s="56" customFormat="1">
      <c r="A55" s="646"/>
      <c r="B55" s="741"/>
      <c r="C55" s="647" t="s">
        <v>1481</v>
      </c>
      <c r="D55" s="658"/>
      <c r="E55" s="649"/>
      <c r="F55" s="649"/>
      <c r="G55" s="741"/>
      <c r="H55" s="220"/>
      <c r="I55" s="316"/>
      <c r="J55" s="316"/>
      <c r="K55" s="316"/>
      <c r="L55" s="222">
        <f t="shared" si="8"/>
        <v>0</v>
      </c>
      <c r="M55" s="223">
        <f t="shared" si="9"/>
        <v>0</v>
      </c>
      <c r="N55" s="222">
        <f t="shared" si="10"/>
        <v>0</v>
      </c>
      <c r="O55" s="222">
        <f t="shared" si="11"/>
        <v>0</v>
      </c>
      <c r="P55" s="222">
        <f t="shared" si="12"/>
        <v>0</v>
      </c>
      <c r="Q55" s="250">
        <f t="shared" si="13"/>
        <v>0</v>
      </c>
    </row>
    <row r="56" spans="1:17" s="56" customFormat="1" ht="174.15">
      <c r="A56" s="646">
        <v>38</v>
      </c>
      <c r="B56" s="741"/>
      <c r="C56" s="650" t="s">
        <v>1509</v>
      </c>
      <c r="D56" s="651" t="s">
        <v>1560</v>
      </c>
      <c r="E56" s="652" t="s">
        <v>136</v>
      </c>
      <c r="F56" s="649">
        <v>1</v>
      </c>
      <c r="G56" s="637">
        <v>99</v>
      </c>
      <c r="H56" s="637">
        <v>10</v>
      </c>
      <c r="I56" s="241">
        <f t="shared" ref="I56:I65" si="19">ROUND(G56*H56,2)</f>
        <v>990</v>
      </c>
      <c r="J56" s="643">
        <v>700</v>
      </c>
      <c r="K56" s="377">
        <f t="shared" ref="K56:K65" si="20">I56*0.15</f>
        <v>148.5</v>
      </c>
      <c r="L56" s="222">
        <f t="shared" si="8"/>
        <v>1838.5</v>
      </c>
      <c r="M56" s="223">
        <f t="shared" si="9"/>
        <v>99</v>
      </c>
      <c r="N56" s="222">
        <f t="shared" si="10"/>
        <v>990</v>
      </c>
      <c r="O56" s="222">
        <f t="shared" si="11"/>
        <v>700</v>
      </c>
      <c r="P56" s="222">
        <f t="shared" si="12"/>
        <v>148.5</v>
      </c>
      <c r="Q56" s="250">
        <f t="shared" si="13"/>
        <v>1838.5</v>
      </c>
    </row>
    <row r="57" spans="1:17" s="56" customFormat="1" ht="24.9">
      <c r="A57" s="646">
        <v>39</v>
      </c>
      <c r="B57" s="741"/>
      <c r="C57" s="653" t="s">
        <v>1510</v>
      </c>
      <c r="D57" s="651" t="s">
        <v>1561</v>
      </c>
      <c r="E57" s="652" t="s">
        <v>118</v>
      </c>
      <c r="F57" s="649">
        <v>1</v>
      </c>
      <c r="G57" s="667">
        <v>2.5</v>
      </c>
      <c r="H57" s="637">
        <v>10</v>
      </c>
      <c r="I57" s="241">
        <f t="shared" si="19"/>
        <v>25</v>
      </c>
      <c r="J57" s="665">
        <v>162</v>
      </c>
      <c r="K57" s="377">
        <f t="shared" si="20"/>
        <v>3.75</v>
      </c>
      <c r="L57" s="222">
        <f t="shared" si="8"/>
        <v>190.75</v>
      </c>
      <c r="M57" s="223">
        <f t="shared" si="9"/>
        <v>2.5</v>
      </c>
      <c r="N57" s="222">
        <f t="shared" si="10"/>
        <v>25</v>
      </c>
      <c r="O57" s="222">
        <f t="shared" si="11"/>
        <v>162</v>
      </c>
      <c r="P57" s="222">
        <f t="shared" si="12"/>
        <v>3.75</v>
      </c>
      <c r="Q57" s="250">
        <f t="shared" si="13"/>
        <v>190.75</v>
      </c>
    </row>
    <row r="58" spans="1:17" s="56" customFormat="1">
      <c r="A58" s="646">
        <v>40</v>
      </c>
      <c r="B58" s="741"/>
      <c r="C58" s="653" t="s">
        <v>1511</v>
      </c>
      <c r="D58" s="651" t="s">
        <v>1562</v>
      </c>
      <c r="E58" s="652" t="s">
        <v>118</v>
      </c>
      <c r="F58" s="649">
        <v>1</v>
      </c>
      <c r="G58" s="644">
        <v>0.6</v>
      </c>
      <c r="H58" s="637">
        <v>10</v>
      </c>
      <c r="I58" s="640">
        <f t="shared" si="19"/>
        <v>6</v>
      </c>
      <c r="J58" s="640">
        <v>14.66</v>
      </c>
      <c r="K58" s="641">
        <f t="shared" si="20"/>
        <v>0.89999999999999991</v>
      </c>
      <c r="L58" s="222">
        <f t="shared" si="8"/>
        <v>21.56</v>
      </c>
      <c r="M58" s="223">
        <f t="shared" si="9"/>
        <v>0.6</v>
      </c>
      <c r="N58" s="222">
        <f t="shared" si="10"/>
        <v>6</v>
      </c>
      <c r="O58" s="222">
        <f t="shared" si="11"/>
        <v>14.66</v>
      </c>
      <c r="P58" s="222">
        <f t="shared" si="12"/>
        <v>0.9</v>
      </c>
      <c r="Q58" s="250">
        <f t="shared" si="13"/>
        <v>21.56</v>
      </c>
    </row>
    <row r="59" spans="1:17" s="56" customFormat="1">
      <c r="A59" s="646">
        <v>41</v>
      </c>
      <c r="B59" s="741"/>
      <c r="C59" s="653" t="s">
        <v>1512</v>
      </c>
      <c r="D59" s="651" t="s">
        <v>1563</v>
      </c>
      <c r="E59" s="652" t="s">
        <v>118</v>
      </c>
      <c r="F59" s="649">
        <v>2</v>
      </c>
      <c r="G59" s="639">
        <v>3</v>
      </c>
      <c r="H59" s="637">
        <v>10</v>
      </c>
      <c r="I59" s="640">
        <f t="shared" si="19"/>
        <v>30</v>
      </c>
      <c r="J59" s="640">
        <v>156</v>
      </c>
      <c r="K59" s="641">
        <f t="shared" si="20"/>
        <v>4.5</v>
      </c>
      <c r="L59" s="222">
        <f t="shared" si="8"/>
        <v>190.5</v>
      </c>
      <c r="M59" s="223">
        <f t="shared" si="9"/>
        <v>6</v>
      </c>
      <c r="N59" s="222">
        <f t="shared" si="10"/>
        <v>60</v>
      </c>
      <c r="O59" s="222">
        <f t="shared" si="11"/>
        <v>312</v>
      </c>
      <c r="P59" s="222">
        <f t="shared" si="12"/>
        <v>9</v>
      </c>
      <c r="Q59" s="250">
        <f t="shared" si="13"/>
        <v>381</v>
      </c>
    </row>
    <row r="60" spans="1:17" s="56" customFormat="1" ht="24.9">
      <c r="A60" s="646">
        <v>42</v>
      </c>
      <c r="B60" s="741"/>
      <c r="C60" s="653" t="s">
        <v>1513</v>
      </c>
      <c r="D60" s="651" t="s">
        <v>1564</v>
      </c>
      <c r="E60" s="652" t="s">
        <v>118</v>
      </c>
      <c r="F60" s="649">
        <v>2</v>
      </c>
      <c r="G60" s="645">
        <v>0.6</v>
      </c>
      <c r="H60" s="637">
        <v>10</v>
      </c>
      <c r="I60" s="640">
        <f t="shared" si="19"/>
        <v>6</v>
      </c>
      <c r="J60" s="640">
        <v>12.56</v>
      </c>
      <c r="K60" s="641">
        <f t="shared" si="20"/>
        <v>0.89999999999999991</v>
      </c>
      <c r="L60" s="222">
        <f t="shared" si="8"/>
        <v>19.46</v>
      </c>
      <c r="M60" s="223">
        <f t="shared" si="9"/>
        <v>1.2</v>
      </c>
      <c r="N60" s="222">
        <f t="shared" si="10"/>
        <v>12</v>
      </c>
      <c r="O60" s="222">
        <f t="shared" si="11"/>
        <v>25.12</v>
      </c>
      <c r="P60" s="222">
        <f t="shared" si="12"/>
        <v>1.8</v>
      </c>
      <c r="Q60" s="250">
        <f t="shared" si="13"/>
        <v>38.92</v>
      </c>
    </row>
    <row r="61" spans="1:17" s="56" customFormat="1">
      <c r="A61" s="646">
        <v>43</v>
      </c>
      <c r="B61" s="741"/>
      <c r="C61" s="653" t="s">
        <v>1514</v>
      </c>
      <c r="D61" s="651" t="s">
        <v>1565</v>
      </c>
      <c r="E61" s="652" t="s">
        <v>118</v>
      </c>
      <c r="F61" s="649">
        <v>1</v>
      </c>
      <c r="G61" s="644">
        <v>0.6</v>
      </c>
      <c r="H61" s="637">
        <v>10</v>
      </c>
      <c r="I61" s="640">
        <f t="shared" si="19"/>
        <v>6</v>
      </c>
      <c r="J61" s="640">
        <v>9.65</v>
      </c>
      <c r="K61" s="641">
        <f t="shared" si="20"/>
        <v>0.89999999999999991</v>
      </c>
      <c r="L61" s="222">
        <f t="shared" si="8"/>
        <v>16.55</v>
      </c>
      <c r="M61" s="223">
        <f t="shared" si="9"/>
        <v>0.6</v>
      </c>
      <c r="N61" s="222">
        <f t="shared" si="10"/>
        <v>6</v>
      </c>
      <c r="O61" s="222">
        <f t="shared" si="11"/>
        <v>9.65</v>
      </c>
      <c r="P61" s="222">
        <f t="shared" si="12"/>
        <v>0.9</v>
      </c>
      <c r="Q61" s="250">
        <f t="shared" si="13"/>
        <v>16.55</v>
      </c>
    </row>
    <row r="62" spans="1:17" s="56" customFormat="1" ht="37.35">
      <c r="A62" s="646">
        <v>44</v>
      </c>
      <c r="B62" s="741"/>
      <c r="C62" s="653" t="s">
        <v>1516</v>
      </c>
      <c r="D62" s="651" t="s">
        <v>1567</v>
      </c>
      <c r="E62" s="652" t="s">
        <v>136</v>
      </c>
      <c r="F62" s="649">
        <v>1</v>
      </c>
      <c r="G62" s="637">
        <v>5</v>
      </c>
      <c r="H62" s="637">
        <v>10</v>
      </c>
      <c r="I62" s="637">
        <f t="shared" si="19"/>
        <v>50</v>
      </c>
      <c r="J62" s="668">
        <v>860</v>
      </c>
      <c r="K62" s="377">
        <f t="shared" si="20"/>
        <v>7.5</v>
      </c>
      <c r="L62" s="222">
        <f t="shared" si="8"/>
        <v>917.5</v>
      </c>
      <c r="M62" s="223">
        <f t="shared" si="9"/>
        <v>5</v>
      </c>
      <c r="N62" s="222">
        <f t="shared" si="10"/>
        <v>50</v>
      </c>
      <c r="O62" s="222">
        <f t="shared" si="11"/>
        <v>860</v>
      </c>
      <c r="P62" s="222">
        <f t="shared" si="12"/>
        <v>7.5</v>
      </c>
      <c r="Q62" s="250">
        <f t="shared" si="13"/>
        <v>917.5</v>
      </c>
    </row>
    <row r="63" spans="1:17" s="56" customFormat="1" ht="24.9">
      <c r="A63" s="646">
        <v>45</v>
      </c>
      <c r="B63" s="741"/>
      <c r="C63" s="742" t="s">
        <v>1491</v>
      </c>
      <c r="D63" s="743" t="s">
        <v>1553</v>
      </c>
      <c r="E63" s="744" t="s">
        <v>118</v>
      </c>
      <c r="F63" s="283">
        <v>1</v>
      </c>
      <c r="G63" s="219">
        <v>4.5</v>
      </c>
      <c r="H63" s="638">
        <v>10</v>
      </c>
      <c r="I63" s="241">
        <f t="shared" si="19"/>
        <v>45</v>
      </c>
      <c r="J63" s="656">
        <v>297</v>
      </c>
      <c r="K63" s="377">
        <f t="shared" si="20"/>
        <v>6.75</v>
      </c>
      <c r="L63" s="222">
        <f t="shared" si="8"/>
        <v>348.75</v>
      </c>
      <c r="M63" s="223">
        <f t="shared" si="9"/>
        <v>4.5</v>
      </c>
      <c r="N63" s="222">
        <f t="shared" si="10"/>
        <v>45</v>
      </c>
      <c r="O63" s="222">
        <f t="shared" si="11"/>
        <v>297</v>
      </c>
      <c r="P63" s="222">
        <f t="shared" si="12"/>
        <v>6.75</v>
      </c>
      <c r="Q63" s="250">
        <f t="shared" si="13"/>
        <v>348.75</v>
      </c>
    </row>
    <row r="64" spans="1:17" s="56" customFormat="1">
      <c r="A64" s="646">
        <v>46</v>
      </c>
      <c r="B64" s="741"/>
      <c r="C64" s="650" t="s">
        <v>1494</v>
      </c>
      <c r="D64" s="651"/>
      <c r="E64" s="652" t="s">
        <v>136</v>
      </c>
      <c r="F64" s="649">
        <v>1</v>
      </c>
      <c r="G64" s="659">
        <v>200</v>
      </c>
      <c r="H64" s="643">
        <v>10</v>
      </c>
      <c r="I64" s="240">
        <f t="shared" si="19"/>
        <v>2000</v>
      </c>
      <c r="J64" s="660"/>
      <c r="K64" s="377">
        <f t="shared" si="20"/>
        <v>300</v>
      </c>
      <c r="L64" s="222">
        <f t="shared" si="8"/>
        <v>2300</v>
      </c>
      <c r="M64" s="223">
        <f t="shared" si="9"/>
        <v>200</v>
      </c>
      <c r="N64" s="222">
        <f t="shared" si="10"/>
        <v>2000</v>
      </c>
      <c r="O64" s="222">
        <f t="shared" si="11"/>
        <v>0</v>
      </c>
      <c r="P64" s="222">
        <f t="shared" si="12"/>
        <v>300</v>
      </c>
      <c r="Q64" s="250">
        <f t="shared" si="13"/>
        <v>2300</v>
      </c>
    </row>
    <row r="65" spans="1:17" s="56" customFormat="1">
      <c r="A65" s="646">
        <v>47</v>
      </c>
      <c r="B65" s="741"/>
      <c r="C65" s="650" t="s">
        <v>1517</v>
      </c>
      <c r="D65" s="651"/>
      <c r="E65" s="652" t="s">
        <v>136</v>
      </c>
      <c r="F65" s="649">
        <v>1</v>
      </c>
      <c r="G65" s="659">
        <v>55</v>
      </c>
      <c r="H65" s="643">
        <v>10</v>
      </c>
      <c r="I65" s="240">
        <f t="shared" si="19"/>
        <v>550</v>
      </c>
      <c r="J65" s="316"/>
      <c r="K65" s="377">
        <f t="shared" si="20"/>
        <v>82.5</v>
      </c>
      <c r="L65" s="222">
        <f t="shared" si="8"/>
        <v>632.5</v>
      </c>
      <c r="M65" s="223">
        <f t="shared" si="9"/>
        <v>55</v>
      </c>
      <c r="N65" s="222">
        <f t="shared" si="10"/>
        <v>550</v>
      </c>
      <c r="O65" s="222">
        <f t="shared" si="11"/>
        <v>0</v>
      </c>
      <c r="P65" s="222">
        <f t="shared" si="12"/>
        <v>82.5</v>
      </c>
      <c r="Q65" s="250">
        <f t="shared" si="13"/>
        <v>632.5</v>
      </c>
    </row>
    <row r="66" spans="1:17" s="56" customFormat="1">
      <c r="A66" s="646"/>
      <c r="B66" s="741"/>
      <c r="C66" s="647" t="s">
        <v>1518</v>
      </c>
      <c r="D66" s="658"/>
      <c r="E66" s="649"/>
      <c r="F66" s="649"/>
      <c r="G66" s="741"/>
      <c r="H66" s="220"/>
      <c r="I66" s="316"/>
      <c r="J66" s="316"/>
      <c r="K66" s="316"/>
      <c r="L66" s="222">
        <f t="shared" si="8"/>
        <v>0</v>
      </c>
      <c r="M66" s="223">
        <f t="shared" si="9"/>
        <v>0</v>
      </c>
      <c r="N66" s="222">
        <f t="shared" si="10"/>
        <v>0</v>
      </c>
      <c r="O66" s="222">
        <f t="shared" si="11"/>
        <v>0</v>
      </c>
      <c r="P66" s="222">
        <f t="shared" si="12"/>
        <v>0</v>
      </c>
      <c r="Q66" s="250">
        <f t="shared" si="13"/>
        <v>0</v>
      </c>
    </row>
    <row r="67" spans="1:17" s="56" customFormat="1" ht="24.9">
      <c r="A67" s="646">
        <v>48</v>
      </c>
      <c r="B67" s="741"/>
      <c r="C67" s="653" t="s">
        <v>1519</v>
      </c>
      <c r="D67" s="658" t="s">
        <v>1568</v>
      </c>
      <c r="E67" s="649" t="s">
        <v>111</v>
      </c>
      <c r="F67" s="649">
        <v>190</v>
      </c>
      <c r="G67" s="637">
        <v>0.2</v>
      </c>
      <c r="H67" s="643">
        <v>10</v>
      </c>
      <c r="I67" s="637">
        <f>ROUND(G67*H67,2)</f>
        <v>2</v>
      </c>
      <c r="J67" s="665">
        <v>0.68</v>
      </c>
      <c r="K67" s="377">
        <f t="shared" ref="K67:K84" si="21">I67*0.15</f>
        <v>0.3</v>
      </c>
      <c r="L67" s="222">
        <f t="shared" si="8"/>
        <v>2.98</v>
      </c>
      <c r="M67" s="223">
        <f t="shared" si="9"/>
        <v>38</v>
      </c>
      <c r="N67" s="222">
        <f t="shared" si="10"/>
        <v>380</v>
      </c>
      <c r="O67" s="222">
        <f t="shared" si="11"/>
        <v>129.19999999999999</v>
      </c>
      <c r="P67" s="222">
        <f t="shared" si="12"/>
        <v>57</v>
      </c>
      <c r="Q67" s="250">
        <f t="shared" si="13"/>
        <v>566.20000000000005</v>
      </c>
    </row>
    <row r="68" spans="1:17" s="56" customFormat="1" ht="24.9">
      <c r="A68" s="646">
        <v>49</v>
      </c>
      <c r="B68" s="741"/>
      <c r="C68" s="653" t="s">
        <v>1519</v>
      </c>
      <c r="D68" s="658" t="s">
        <v>1569</v>
      </c>
      <c r="E68" s="649" t="s">
        <v>111</v>
      </c>
      <c r="F68" s="649">
        <v>1030</v>
      </c>
      <c r="G68" s="637">
        <v>0.2</v>
      </c>
      <c r="H68" s="643">
        <v>10</v>
      </c>
      <c r="I68" s="637">
        <f t="shared" ref="I68:I82" si="22">ROUND(G68*H68,2)</f>
        <v>2</v>
      </c>
      <c r="J68" s="665">
        <v>0.72</v>
      </c>
      <c r="K68" s="377">
        <f t="shared" si="21"/>
        <v>0.3</v>
      </c>
      <c r="L68" s="222">
        <f t="shared" si="8"/>
        <v>3.0199999999999996</v>
      </c>
      <c r="M68" s="223">
        <f t="shared" si="9"/>
        <v>206</v>
      </c>
      <c r="N68" s="222">
        <f t="shared" si="10"/>
        <v>2060</v>
      </c>
      <c r="O68" s="222">
        <f t="shared" si="11"/>
        <v>741.6</v>
      </c>
      <c r="P68" s="222">
        <f t="shared" si="12"/>
        <v>309</v>
      </c>
      <c r="Q68" s="250">
        <f t="shared" si="13"/>
        <v>3110.6</v>
      </c>
    </row>
    <row r="69" spans="1:17" s="56" customFormat="1">
      <c r="A69" s="646">
        <v>50</v>
      </c>
      <c r="B69" s="741"/>
      <c r="C69" s="653" t="s">
        <v>1520</v>
      </c>
      <c r="D69" s="658" t="s">
        <v>1570</v>
      </c>
      <c r="E69" s="649" t="s">
        <v>111</v>
      </c>
      <c r="F69" s="649">
        <v>1470</v>
      </c>
      <c r="G69" s="637">
        <v>0.2</v>
      </c>
      <c r="H69" s="643">
        <v>10</v>
      </c>
      <c r="I69" s="637">
        <f t="shared" si="22"/>
        <v>2</v>
      </c>
      <c r="J69" s="665">
        <v>0.8</v>
      </c>
      <c r="K69" s="377">
        <f t="shared" si="21"/>
        <v>0.3</v>
      </c>
      <c r="L69" s="222">
        <f t="shared" si="8"/>
        <v>3.0999999999999996</v>
      </c>
      <c r="M69" s="223">
        <f t="shared" si="9"/>
        <v>294</v>
      </c>
      <c r="N69" s="222">
        <f t="shared" si="10"/>
        <v>2940</v>
      </c>
      <c r="O69" s="222">
        <f t="shared" si="11"/>
        <v>1176</v>
      </c>
      <c r="P69" s="222">
        <f t="shared" si="12"/>
        <v>441</v>
      </c>
      <c r="Q69" s="250">
        <f t="shared" si="13"/>
        <v>4557</v>
      </c>
    </row>
    <row r="70" spans="1:17" s="56" customFormat="1">
      <c r="A70" s="646">
        <v>51</v>
      </c>
      <c r="B70" s="741"/>
      <c r="C70" s="653" t="s">
        <v>1521</v>
      </c>
      <c r="D70" s="658" t="s">
        <v>1571</v>
      </c>
      <c r="E70" s="649" t="s">
        <v>111</v>
      </c>
      <c r="F70" s="649">
        <v>450</v>
      </c>
      <c r="G70" s="637">
        <v>0.2</v>
      </c>
      <c r="H70" s="643">
        <v>10</v>
      </c>
      <c r="I70" s="637">
        <f t="shared" si="22"/>
        <v>2</v>
      </c>
      <c r="J70" s="665">
        <v>0.66</v>
      </c>
      <c r="K70" s="377">
        <f t="shared" si="21"/>
        <v>0.3</v>
      </c>
      <c r="L70" s="222">
        <f t="shared" si="8"/>
        <v>2.96</v>
      </c>
      <c r="M70" s="223">
        <f t="shared" si="9"/>
        <v>90</v>
      </c>
      <c r="N70" s="222">
        <f t="shared" si="10"/>
        <v>900</v>
      </c>
      <c r="O70" s="222">
        <f t="shared" si="11"/>
        <v>297</v>
      </c>
      <c r="P70" s="222">
        <f t="shared" si="12"/>
        <v>135</v>
      </c>
      <c r="Q70" s="250">
        <f t="shared" si="13"/>
        <v>1332</v>
      </c>
    </row>
    <row r="71" spans="1:17" s="56" customFormat="1">
      <c r="A71" s="646">
        <v>52</v>
      </c>
      <c r="B71" s="741"/>
      <c r="C71" s="653" t="s">
        <v>1522</v>
      </c>
      <c r="D71" s="658" t="s">
        <v>1572</v>
      </c>
      <c r="E71" s="649" t="s">
        <v>111</v>
      </c>
      <c r="F71" s="649">
        <v>260</v>
      </c>
      <c r="G71" s="637">
        <v>0.2</v>
      </c>
      <c r="H71" s="643">
        <v>10</v>
      </c>
      <c r="I71" s="637">
        <f>ROUND(G71*H71,2)</f>
        <v>2</v>
      </c>
      <c r="J71" s="665">
        <v>0.42</v>
      </c>
      <c r="K71" s="377">
        <f t="shared" si="21"/>
        <v>0.3</v>
      </c>
      <c r="L71" s="222">
        <f t="shared" si="8"/>
        <v>2.7199999999999998</v>
      </c>
      <c r="M71" s="223">
        <f t="shared" si="9"/>
        <v>52</v>
      </c>
      <c r="N71" s="222">
        <f t="shared" si="10"/>
        <v>520</v>
      </c>
      <c r="O71" s="222">
        <f t="shared" si="11"/>
        <v>109.2</v>
      </c>
      <c r="P71" s="222">
        <f t="shared" si="12"/>
        <v>78</v>
      </c>
      <c r="Q71" s="250">
        <f t="shared" si="13"/>
        <v>707.2</v>
      </c>
    </row>
    <row r="72" spans="1:17" s="56" customFormat="1">
      <c r="A72" s="646">
        <v>53</v>
      </c>
      <c r="B72" s="741"/>
      <c r="C72" s="653" t="s">
        <v>1522</v>
      </c>
      <c r="D72" s="658" t="s">
        <v>1573</v>
      </c>
      <c r="E72" s="649" t="s">
        <v>111</v>
      </c>
      <c r="F72" s="649">
        <v>230</v>
      </c>
      <c r="G72" s="637">
        <v>0.2</v>
      </c>
      <c r="H72" s="643">
        <v>10</v>
      </c>
      <c r="I72" s="637">
        <f t="shared" si="22"/>
        <v>2</v>
      </c>
      <c r="J72" s="665">
        <v>0.46</v>
      </c>
      <c r="K72" s="377">
        <f t="shared" si="21"/>
        <v>0.3</v>
      </c>
      <c r="L72" s="222">
        <f t="shared" si="8"/>
        <v>2.76</v>
      </c>
      <c r="M72" s="223">
        <f t="shared" si="9"/>
        <v>46</v>
      </c>
      <c r="N72" s="222">
        <f t="shared" si="10"/>
        <v>460</v>
      </c>
      <c r="O72" s="222">
        <f t="shared" si="11"/>
        <v>105.8</v>
      </c>
      <c r="P72" s="222">
        <f t="shared" si="12"/>
        <v>69</v>
      </c>
      <c r="Q72" s="250">
        <f t="shared" si="13"/>
        <v>634.79999999999995</v>
      </c>
    </row>
    <row r="73" spans="1:17" s="56" customFormat="1">
      <c r="A73" s="646">
        <v>54</v>
      </c>
      <c r="B73" s="741"/>
      <c r="C73" s="653" t="s">
        <v>1522</v>
      </c>
      <c r="D73" s="658" t="s">
        <v>1574</v>
      </c>
      <c r="E73" s="649" t="s">
        <v>111</v>
      </c>
      <c r="F73" s="649">
        <v>1100</v>
      </c>
      <c r="G73" s="637">
        <v>0.2</v>
      </c>
      <c r="H73" s="643">
        <v>10</v>
      </c>
      <c r="I73" s="637">
        <f t="shared" si="22"/>
        <v>2</v>
      </c>
      <c r="J73" s="665">
        <v>0.56000000000000005</v>
      </c>
      <c r="K73" s="377">
        <f t="shared" si="21"/>
        <v>0.3</v>
      </c>
      <c r="L73" s="222">
        <f t="shared" si="8"/>
        <v>2.86</v>
      </c>
      <c r="M73" s="223">
        <f t="shared" si="9"/>
        <v>220</v>
      </c>
      <c r="N73" s="222">
        <f t="shared" si="10"/>
        <v>2200</v>
      </c>
      <c r="O73" s="222">
        <f t="shared" si="11"/>
        <v>616</v>
      </c>
      <c r="P73" s="222">
        <f t="shared" si="12"/>
        <v>330</v>
      </c>
      <c r="Q73" s="250">
        <f t="shared" si="13"/>
        <v>3146</v>
      </c>
    </row>
    <row r="74" spans="1:17" s="56" customFormat="1">
      <c r="A74" s="646">
        <v>55</v>
      </c>
      <c r="B74" s="741"/>
      <c r="C74" s="653" t="s">
        <v>1522</v>
      </c>
      <c r="D74" s="658" t="s">
        <v>1575</v>
      </c>
      <c r="E74" s="649" t="s">
        <v>111</v>
      </c>
      <c r="F74" s="649">
        <v>630</v>
      </c>
      <c r="G74" s="637">
        <v>0.2</v>
      </c>
      <c r="H74" s="643">
        <v>10</v>
      </c>
      <c r="I74" s="637">
        <f t="shared" si="22"/>
        <v>2</v>
      </c>
      <c r="J74" s="665">
        <v>0.6</v>
      </c>
      <c r="K74" s="377">
        <f t="shared" si="21"/>
        <v>0.3</v>
      </c>
      <c r="L74" s="222">
        <f t="shared" si="8"/>
        <v>2.9</v>
      </c>
      <c r="M74" s="223">
        <f t="shared" si="9"/>
        <v>126</v>
      </c>
      <c r="N74" s="222">
        <f t="shared" si="10"/>
        <v>1260</v>
      </c>
      <c r="O74" s="222">
        <f t="shared" si="11"/>
        <v>378</v>
      </c>
      <c r="P74" s="222">
        <f t="shared" si="12"/>
        <v>189</v>
      </c>
      <c r="Q74" s="250">
        <f t="shared" si="13"/>
        <v>1827</v>
      </c>
    </row>
    <row r="75" spans="1:17" s="56" customFormat="1">
      <c r="A75" s="646">
        <v>56</v>
      </c>
      <c r="B75" s="741"/>
      <c r="C75" s="653" t="s">
        <v>1522</v>
      </c>
      <c r="D75" s="658" t="s">
        <v>1576</v>
      </c>
      <c r="E75" s="649" t="s">
        <v>111</v>
      </c>
      <c r="F75" s="649">
        <v>60</v>
      </c>
      <c r="G75" s="637">
        <v>0.2</v>
      </c>
      <c r="H75" s="643">
        <v>10</v>
      </c>
      <c r="I75" s="637">
        <f t="shared" si="22"/>
        <v>2</v>
      </c>
      <c r="J75" s="665">
        <v>0.68</v>
      </c>
      <c r="K75" s="377">
        <f t="shared" si="21"/>
        <v>0.3</v>
      </c>
      <c r="L75" s="222">
        <f t="shared" si="8"/>
        <v>2.98</v>
      </c>
      <c r="M75" s="223">
        <f t="shared" si="9"/>
        <v>12</v>
      </c>
      <c r="N75" s="222">
        <f t="shared" si="10"/>
        <v>120</v>
      </c>
      <c r="O75" s="222">
        <f t="shared" si="11"/>
        <v>40.799999999999997</v>
      </c>
      <c r="P75" s="222">
        <f t="shared" si="12"/>
        <v>18</v>
      </c>
      <c r="Q75" s="250">
        <f t="shared" si="13"/>
        <v>178.8</v>
      </c>
    </row>
    <row r="76" spans="1:17" s="56" customFormat="1">
      <c r="A76" s="646">
        <v>57</v>
      </c>
      <c r="B76" s="741"/>
      <c r="C76" s="653" t="s">
        <v>1523</v>
      </c>
      <c r="D76" s="658" t="s">
        <v>1577</v>
      </c>
      <c r="E76" s="649" t="s">
        <v>111</v>
      </c>
      <c r="F76" s="649">
        <v>630</v>
      </c>
      <c r="G76" s="637">
        <v>0.2</v>
      </c>
      <c r="H76" s="643">
        <v>10</v>
      </c>
      <c r="I76" s="637">
        <f t="shared" si="22"/>
        <v>2</v>
      </c>
      <c r="J76" s="665">
        <v>0.86</v>
      </c>
      <c r="K76" s="377">
        <f t="shared" si="21"/>
        <v>0.3</v>
      </c>
      <c r="L76" s="222">
        <f t="shared" si="8"/>
        <v>3.1599999999999997</v>
      </c>
      <c r="M76" s="223">
        <f t="shared" si="9"/>
        <v>126</v>
      </c>
      <c r="N76" s="222">
        <f t="shared" si="10"/>
        <v>1260</v>
      </c>
      <c r="O76" s="222">
        <f t="shared" si="11"/>
        <v>541.79999999999995</v>
      </c>
      <c r="P76" s="222">
        <f t="shared" si="12"/>
        <v>189</v>
      </c>
      <c r="Q76" s="250">
        <f t="shared" si="13"/>
        <v>1990.8</v>
      </c>
    </row>
    <row r="77" spans="1:17" s="56" customFormat="1" ht="24.9">
      <c r="A77" s="646">
        <v>58</v>
      </c>
      <c r="B77" s="741"/>
      <c r="C77" s="653" t="s">
        <v>1524</v>
      </c>
      <c r="D77" s="658" t="s">
        <v>1578</v>
      </c>
      <c r="E77" s="652" t="s">
        <v>136</v>
      </c>
      <c r="F77" s="649">
        <v>1</v>
      </c>
      <c r="G77" s="637">
        <v>0.12</v>
      </c>
      <c r="H77" s="643">
        <v>10</v>
      </c>
      <c r="I77" s="637">
        <f t="shared" si="22"/>
        <v>1.2</v>
      </c>
      <c r="J77" s="665">
        <v>1224</v>
      </c>
      <c r="K77" s="377">
        <f t="shared" si="21"/>
        <v>0.18</v>
      </c>
      <c r="L77" s="222">
        <f t="shared" si="8"/>
        <v>1225.3800000000001</v>
      </c>
      <c r="M77" s="223">
        <f t="shared" si="9"/>
        <v>0.12</v>
      </c>
      <c r="N77" s="222">
        <f t="shared" si="10"/>
        <v>1.2</v>
      </c>
      <c r="O77" s="222">
        <f t="shared" si="11"/>
        <v>1224</v>
      </c>
      <c r="P77" s="222">
        <f t="shared" si="12"/>
        <v>0.18</v>
      </c>
      <c r="Q77" s="250">
        <f t="shared" si="13"/>
        <v>1225.3800000000001</v>
      </c>
    </row>
    <row r="78" spans="1:17" s="56" customFormat="1" ht="24.9">
      <c r="A78" s="646">
        <v>59</v>
      </c>
      <c r="B78" s="741"/>
      <c r="C78" s="653" t="s">
        <v>1525</v>
      </c>
      <c r="D78" s="658" t="s">
        <v>1579</v>
      </c>
      <c r="E78" s="652" t="s">
        <v>136</v>
      </c>
      <c r="F78" s="649">
        <v>1</v>
      </c>
      <c r="G78" s="637">
        <v>0.12</v>
      </c>
      <c r="H78" s="643">
        <v>10</v>
      </c>
      <c r="I78" s="637">
        <f t="shared" si="22"/>
        <v>1.2</v>
      </c>
      <c r="J78" s="665">
        <v>792</v>
      </c>
      <c r="K78" s="377">
        <f t="shared" si="21"/>
        <v>0.18</v>
      </c>
      <c r="L78" s="222">
        <f t="shared" si="8"/>
        <v>793.38</v>
      </c>
      <c r="M78" s="223">
        <f t="shared" si="9"/>
        <v>0.12</v>
      </c>
      <c r="N78" s="222">
        <f t="shared" si="10"/>
        <v>1.2</v>
      </c>
      <c r="O78" s="222">
        <f t="shared" si="11"/>
        <v>792</v>
      </c>
      <c r="P78" s="222">
        <f t="shared" si="12"/>
        <v>0.18</v>
      </c>
      <c r="Q78" s="250">
        <f t="shared" si="13"/>
        <v>793.38</v>
      </c>
    </row>
    <row r="79" spans="1:17" s="56" customFormat="1" ht="24.9">
      <c r="A79" s="646">
        <v>60</v>
      </c>
      <c r="B79" s="741"/>
      <c r="C79" s="666" t="s">
        <v>1526</v>
      </c>
      <c r="D79" s="658"/>
      <c r="E79" s="652" t="s">
        <v>136</v>
      </c>
      <c r="F79" s="649">
        <v>1</v>
      </c>
      <c r="G79" s="637">
        <v>0.108</v>
      </c>
      <c r="H79" s="638">
        <v>10</v>
      </c>
      <c r="I79" s="637">
        <f t="shared" si="22"/>
        <v>1.08</v>
      </c>
      <c r="J79" s="669">
        <v>1224</v>
      </c>
      <c r="K79" s="377">
        <f t="shared" si="21"/>
        <v>0.16200000000000001</v>
      </c>
      <c r="L79" s="222">
        <f t="shared" si="8"/>
        <v>1225.242</v>
      </c>
      <c r="M79" s="223">
        <f t="shared" si="9"/>
        <v>0.11</v>
      </c>
      <c r="N79" s="222">
        <f t="shared" si="10"/>
        <v>1.08</v>
      </c>
      <c r="O79" s="222">
        <f t="shared" si="11"/>
        <v>1224</v>
      </c>
      <c r="P79" s="222">
        <f t="shared" si="12"/>
        <v>0.16</v>
      </c>
      <c r="Q79" s="250">
        <f t="shared" si="13"/>
        <v>1225.24</v>
      </c>
    </row>
    <row r="80" spans="1:17" s="56" customFormat="1" ht="24.9">
      <c r="A80" s="646">
        <v>61</v>
      </c>
      <c r="B80" s="741"/>
      <c r="C80" s="666" t="s">
        <v>1527</v>
      </c>
      <c r="D80" s="658"/>
      <c r="E80" s="652" t="s">
        <v>136</v>
      </c>
      <c r="F80" s="649">
        <v>1</v>
      </c>
      <c r="G80" s="637">
        <v>0.3</v>
      </c>
      <c r="H80" s="638">
        <v>10</v>
      </c>
      <c r="I80" s="637">
        <f t="shared" si="22"/>
        <v>3</v>
      </c>
      <c r="J80" s="665">
        <v>520</v>
      </c>
      <c r="K80" s="377">
        <f t="shared" si="21"/>
        <v>0.44999999999999996</v>
      </c>
      <c r="L80" s="222">
        <f t="shared" si="8"/>
        <v>523.45000000000005</v>
      </c>
      <c r="M80" s="223">
        <f t="shared" si="9"/>
        <v>0.3</v>
      </c>
      <c r="N80" s="222">
        <f t="shared" si="10"/>
        <v>3</v>
      </c>
      <c r="O80" s="222">
        <f t="shared" si="11"/>
        <v>520</v>
      </c>
      <c r="P80" s="222">
        <f t="shared" si="12"/>
        <v>0.45</v>
      </c>
      <c r="Q80" s="250">
        <f t="shared" si="13"/>
        <v>523.45000000000005</v>
      </c>
    </row>
    <row r="81" spans="1:17" s="56" customFormat="1">
      <c r="A81" s="646">
        <v>62</v>
      </c>
      <c r="B81" s="741"/>
      <c r="C81" s="666" t="s">
        <v>1528</v>
      </c>
      <c r="D81" s="658"/>
      <c r="E81" s="652" t="s">
        <v>136</v>
      </c>
      <c r="F81" s="649">
        <v>1</v>
      </c>
      <c r="G81" s="637">
        <v>0.45</v>
      </c>
      <c r="H81" s="638">
        <v>10</v>
      </c>
      <c r="I81" s="637">
        <f t="shared" si="22"/>
        <v>4.5</v>
      </c>
      <c r="J81" s="670">
        <v>460</v>
      </c>
      <c r="K81" s="377">
        <f t="shared" si="21"/>
        <v>0.67499999999999993</v>
      </c>
      <c r="L81" s="222">
        <f t="shared" ref="L81:L96" si="23">SUM(I81:K81)</f>
        <v>465.17500000000001</v>
      </c>
      <c r="M81" s="223">
        <f t="shared" ref="M81:M96" si="24">ROUND(G81*F81,2)</f>
        <v>0.45</v>
      </c>
      <c r="N81" s="222">
        <f t="shared" ref="N81:N96" si="25">ROUND(I81*F81,2)</f>
        <v>4.5</v>
      </c>
      <c r="O81" s="222">
        <f t="shared" ref="O81:O96" si="26">ROUND(J81*F81,2)</f>
        <v>460</v>
      </c>
      <c r="P81" s="222">
        <f t="shared" ref="P81:P96" si="27">ROUND(K81*F81,2)</f>
        <v>0.68</v>
      </c>
      <c r="Q81" s="250">
        <f t="shared" ref="Q81:Q96" si="28">SUM(N81:P81)</f>
        <v>465.18</v>
      </c>
    </row>
    <row r="82" spans="1:17" s="56" customFormat="1" ht="24.9">
      <c r="A82" s="646">
        <v>63</v>
      </c>
      <c r="B82" s="741"/>
      <c r="C82" s="653" t="s">
        <v>1529</v>
      </c>
      <c r="D82" s="658" t="s">
        <v>1580</v>
      </c>
      <c r="E82" s="649" t="s">
        <v>111</v>
      </c>
      <c r="F82" s="649">
        <v>20</v>
      </c>
      <c r="G82" s="637">
        <v>1.5</v>
      </c>
      <c r="H82" s="638">
        <v>10</v>
      </c>
      <c r="I82" s="637">
        <f t="shared" si="22"/>
        <v>15</v>
      </c>
      <c r="J82" s="670">
        <v>7.2</v>
      </c>
      <c r="K82" s="377">
        <f t="shared" si="21"/>
        <v>2.25</v>
      </c>
      <c r="L82" s="222">
        <f t="shared" si="23"/>
        <v>24.45</v>
      </c>
      <c r="M82" s="223">
        <f t="shared" si="24"/>
        <v>30</v>
      </c>
      <c r="N82" s="222">
        <f t="shared" si="25"/>
        <v>300</v>
      </c>
      <c r="O82" s="222">
        <f t="shared" si="26"/>
        <v>144</v>
      </c>
      <c r="P82" s="222">
        <f t="shared" si="27"/>
        <v>45</v>
      </c>
      <c r="Q82" s="250">
        <f t="shared" si="28"/>
        <v>489</v>
      </c>
    </row>
    <row r="83" spans="1:17" s="56" customFormat="1">
      <c r="A83" s="646">
        <v>64</v>
      </c>
      <c r="B83" s="741"/>
      <c r="C83" s="671" t="s">
        <v>1530</v>
      </c>
      <c r="D83" s="658"/>
      <c r="E83" s="652" t="s">
        <v>136</v>
      </c>
      <c r="F83" s="649">
        <v>1</v>
      </c>
      <c r="G83" s="672"/>
      <c r="H83" s="637"/>
      <c r="I83" s="637"/>
      <c r="J83" s="660">
        <v>300</v>
      </c>
      <c r="K83" s="377">
        <f t="shared" si="21"/>
        <v>0</v>
      </c>
      <c r="L83" s="222">
        <f t="shared" si="23"/>
        <v>300</v>
      </c>
      <c r="M83" s="223">
        <f t="shared" si="24"/>
        <v>0</v>
      </c>
      <c r="N83" s="222">
        <f t="shared" si="25"/>
        <v>0</v>
      </c>
      <c r="O83" s="222">
        <f t="shared" si="26"/>
        <v>300</v>
      </c>
      <c r="P83" s="222">
        <f t="shared" si="27"/>
        <v>0</v>
      </c>
      <c r="Q83" s="250">
        <f t="shared" si="28"/>
        <v>300</v>
      </c>
    </row>
    <row r="84" spans="1:17" s="56" customFormat="1">
      <c r="A84" s="646">
        <v>65</v>
      </c>
      <c r="B84" s="741"/>
      <c r="C84" s="666" t="s">
        <v>1531</v>
      </c>
      <c r="D84" s="658"/>
      <c r="E84" s="652" t="s">
        <v>136</v>
      </c>
      <c r="F84" s="649">
        <v>1</v>
      </c>
      <c r="G84" s="672"/>
      <c r="H84" s="637"/>
      <c r="I84" s="637"/>
      <c r="J84" s="660">
        <v>800</v>
      </c>
      <c r="K84" s="377">
        <f t="shared" si="21"/>
        <v>0</v>
      </c>
      <c r="L84" s="222">
        <f t="shared" si="23"/>
        <v>800</v>
      </c>
      <c r="M84" s="223">
        <f t="shared" si="24"/>
        <v>0</v>
      </c>
      <c r="N84" s="222">
        <f t="shared" si="25"/>
        <v>0</v>
      </c>
      <c r="O84" s="222">
        <f t="shared" si="26"/>
        <v>800</v>
      </c>
      <c r="P84" s="222">
        <f t="shared" si="27"/>
        <v>0</v>
      </c>
      <c r="Q84" s="250">
        <f t="shared" si="28"/>
        <v>800</v>
      </c>
    </row>
    <row r="85" spans="1:17" s="56" customFormat="1">
      <c r="A85" s="646">
        <v>66</v>
      </c>
      <c r="B85" s="741"/>
      <c r="C85" s="666" t="s">
        <v>1532</v>
      </c>
      <c r="D85" s="658"/>
      <c r="E85" s="652" t="s">
        <v>136</v>
      </c>
      <c r="F85" s="649">
        <v>1</v>
      </c>
      <c r="G85" s="637">
        <v>50</v>
      </c>
      <c r="H85" s="637">
        <v>10</v>
      </c>
      <c r="I85" s="637">
        <f t="shared" ref="I85:I86" si="29">ROUND(G85*H85,2)</f>
        <v>500</v>
      </c>
      <c r="J85" s="660">
        <v>250</v>
      </c>
      <c r="K85" s="377">
        <f>I85*0.15</f>
        <v>75</v>
      </c>
      <c r="L85" s="222">
        <f t="shared" si="23"/>
        <v>825</v>
      </c>
      <c r="M85" s="223">
        <f t="shared" si="24"/>
        <v>50</v>
      </c>
      <c r="N85" s="222">
        <f t="shared" si="25"/>
        <v>500</v>
      </c>
      <c r="O85" s="222">
        <f t="shared" si="26"/>
        <v>250</v>
      </c>
      <c r="P85" s="222">
        <f t="shared" si="27"/>
        <v>75</v>
      </c>
      <c r="Q85" s="250">
        <f t="shared" si="28"/>
        <v>825</v>
      </c>
    </row>
    <row r="86" spans="1:17" s="56" customFormat="1">
      <c r="A86" s="646">
        <v>67</v>
      </c>
      <c r="B86" s="741"/>
      <c r="C86" s="666" t="s">
        <v>1533</v>
      </c>
      <c r="D86" s="658"/>
      <c r="E86" s="652" t="s">
        <v>136</v>
      </c>
      <c r="F86" s="649">
        <v>1</v>
      </c>
      <c r="G86" s="637">
        <v>50</v>
      </c>
      <c r="H86" s="637">
        <v>10</v>
      </c>
      <c r="I86" s="637">
        <f t="shared" si="29"/>
        <v>500</v>
      </c>
      <c r="J86" s="660">
        <v>250</v>
      </c>
      <c r="K86" s="377">
        <f>I86*0.15</f>
        <v>75</v>
      </c>
      <c r="L86" s="222">
        <f t="shared" si="23"/>
        <v>825</v>
      </c>
      <c r="M86" s="223">
        <f t="shared" si="24"/>
        <v>50</v>
      </c>
      <c r="N86" s="222">
        <f t="shared" si="25"/>
        <v>500</v>
      </c>
      <c r="O86" s="222">
        <f t="shared" si="26"/>
        <v>250</v>
      </c>
      <c r="P86" s="222">
        <f t="shared" si="27"/>
        <v>75</v>
      </c>
      <c r="Q86" s="250">
        <f t="shared" si="28"/>
        <v>825</v>
      </c>
    </row>
    <row r="87" spans="1:17" s="56" customFormat="1" ht="118.5" customHeight="1">
      <c r="A87" s="646"/>
      <c r="B87" s="741"/>
      <c r="C87" s="647" t="s">
        <v>1534</v>
      </c>
      <c r="D87" s="658"/>
      <c r="E87" s="649"/>
      <c r="F87" s="649"/>
      <c r="G87" s="741"/>
      <c r="H87" s="741"/>
      <c r="I87" s="741"/>
      <c r="J87" s="741"/>
      <c r="K87" s="741"/>
      <c r="L87" s="222">
        <f t="shared" si="23"/>
        <v>0</v>
      </c>
      <c r="M87" s="223">
        <f t="shared" si="24"/>
        <v>0</v>
      </c>
      <c r="N87" s="222">
        <f t="shared" si="25"/>
        <v>0</v>
      </c>
      <c r="O87" s="222">
        <f t="shared" si="26"/>
        <v>0</v>
      </c>
      <c r="P87" s="222">
        <f t="shared" si="27"/>
        <v>0</v>
      </c>
      <c r="Q87" s="250">
        <f t="shared" si="28"/>
        <v>0</v>
      </c>
    </row>
    <row r="88" spans="1:17" s="56" customFormat="1" ht="99.5">
      <c r="A88" s="646">
        <v>68</v>
      </c>
      <c r="B88" s="741"/>
      <c r="C88" s="666" t="s">
        <v>1535</v>
      </c>
      <c r="D88" s="673" t="s">
        <v>1581</v>
      </c>
      <c r="E88" s="652" t="s">
        <v>136</v>
      </c>
      <c r="F88" s="649">
        <v>1</v>
      </c>
      <c r="G88" s="741"/>
      <c r="H88" s="220"/>
      <c r="I88" s="316"/>
      <c r="J88" s="316">
        <v>12000</v>
      </c>
      <c r="K88" s="316"/>
      <c r="L88" s="222">
        <f t="shared" si="23"/>
        <v>12000</v>
      </c>
      <c r="M88" s="223">
        <f t="shared" si="24"/>
        <v>0</v>
      </c>
      <c r="N88" s="222">
        <f t="shared" si="25"/>
        <v>0</v>
      </c>
      <c r="O88" s="222">
        <f t="shared" si="26"/>
        <v>12000</v>
      </c>
      <c r="P88" s="222">
        <f t="shared" si="27"/>
        <v>0</v>
      </c>
      <c r="Q88" s="250">
        <f t="shared" si="28"/>
        <v>12000</v>
      </c>
    </row>
    <row r="89" spans="1:17" s="56" customFormat="1" ht="108" customHeight="1">
      <c r="A89" s="646">
        <v>69</v>
      </c>
      <c r="B89" s="741"/>
      <c r="C89" s="666" t="s">
        <v>1536</v>
      </c>
      <c r="D89" s="673"/>
      <c r="E89" s="652" t="s">
        <v>136</v>
      </c>
      <c r="F89" s="649">
        <v>1</v>
      </c>
      <c r="G89" s="637">
        <v>33.299999999999997</v>
      </c>
      <c r="H89" s="637">
        <v>10</v>
      </c>
      <c r="I89" s="637">
        <f t="shared" ref="I89:I90" si="30">ROUND(G89*H89,2)</f>
        <v>333</v>
      </c>
      <c r="J89" s="316">
        <v>2500</v>
      </c>
      <c r="K89" s="316"/>
      <c r="L89" s="222">
        <f t="shared" si="23"/>
        <v>2833</v>
      </c>
      <c r="M89" s="223">
        <f t="shared" si="24"/>
        <v>33.299999999999997</v>
      </c>
      <c r="N89" s="222">
        <f t="shared" si="25"/>
        <v>333</v>
      </c>
      <c r="O89" s="222">
        <f t="shared" si="26"/>
        <v>2500</v>
      </c>
      <c r="P89" s="222">
        <f t="shared" si="27"/>
        <v>0</v>
      </c>
      <c r="Q89" s="250">
        <f t="shared" si="28"/>
        <v>2833</v>
      </c>
    </row>
    <row r="90" spans="1:17" s="56" customFormat="1" ht="74.650000000000006">
      <c r="A90" s="646">
        <v>70</v>
      </c>
      <c r="B90" s="741"/>
      <c r="C90" s="666" t="s">
        <v>1537</v>
      </c>
      <c r="D90" s="673"/>
      <c r="E90" s="652" t="s">
        <v>136</v>
      </c>
      <c r="F90" s="649">
        <v>1</v>
      </c>
      <c r="G90" s="637">
        <v>33.299999999999997</v>
      </c>
      <c r="H90" s="637">
        <v>10</v>
      </c>
      <c r="I90" s="637">
        <f t="shared" si="30"/>
        <v>333</v>
      </c>
      <c r="J90" s="377">
        <v>1500</v>
      </c>
      <c r="K90" s="377">
        <f t="shared" ref="K90" si="31">I90*0.15</f>
        <v>49.949999999999996</v>
      </c>
      <c r="L90" s="222">
        <f t="shared" si="23"/>
        <v>1882.95</v>
      </c>
      <c r="M90" s="223">
        <f t="shared" si="24"/>
        <v>33.299999999999997</v>
      </c>
      <c r="N90" s="222">
        <f t="shared" si="25"/>
        <v>333</v>
      </c>
      <c r="O90" s="222">
        <f t="shared" si="26"/>
        <v>1500</v>
      </c>
      <c r="P90" s="222">
        <f t="shared" si="27"/>
        <v>49.95</v>
      </c>
      <c r="Q90" s="250">
        <f t="shared" si="28"/>
        <v>1882.95</v>
      </c>
    </row>
    <row r="91" spans="1:17" s="56" customFormat="1">
      <c r="A91" s="646"/>
      <c r="B91" s="741"/>
      <c r="C91" s="647" t="s">
        <v>1538</v>
      </c>
      <c r="D91" s="658"/>
      <c r="E91" s="649"/>
      <c r="F91" s="649"/>
      <c r="G91" s="741"/>
      <c r="H91" s="220"/>
      <c r="I91" s="316"/>
      <c r="J91" s="316"/>
      <c r="K91" s="316"/>
      <c r="L91" s="222">
        <f t="shared" si="23"/>
        <v>0</v>
      </c>
      <c r="M91" s="223">
        <f t="shared" si="24"/>
        <v>0</v>
      </c>
      <c r="N91" s="222">
        <f t="shared" si="25"/>
        <v>0</v>
      </c>
      <c r="O91" s="222">
        <f t="shared" si="26"/>
        <v>0</v>
      </c>
      <c r="P91" s="222">
        <f t="shared" si="27"/>
        <v>0</v>
      </c>
      <c r="Q91" s="250">
        <f t="shared" si="28"/>
        <v>0</v>
      </c>
    </row>
    <row r="92" spans="1:17" s="56" customFormat="1">
      <c r="A92" s="646">
        <v>71</v>
      </c>
      <c r="B92" s="741"/>
      <c r="C92" s="666" t="s">
        <v>1539</v>
      </c>
      <c r="D92" s="673"/>
      <c r="E92" s="652" t="s">
        <v>136</v>
      </c>
      <c r="F92" s="649">
        <v>1</v>
      </c>
      <c r="G92" s="637">
        <v>41.7</v>
      </c>
      <c r="H92" s="637">
        <v>10</v>
      </c>
      <c r="I92" s="637">
        <f t="shared" ref="I92:I96" si="32">ROUND(G92*H92,2)</f>
        <v>417</v>
      </c>
      <c r="J92" s="660">
        <v>100</v>
      </c>
      <c r="K92" s="377">
        <f t="shared" ref="K92:K96" si="33">I92*0.15</f>
        <v>62.55</v>
      </c>
      <c r="L92" s="222">
        <f t="shared" si="23"/>
        <v>579.54999999999995</v>
      </c>
      <c r="M92" s="223">
        <f t="shared" si="24"/>
        <v>41.7</v>
      </c>
      <c r="N92" s="222">
        <f t="shared" si="25"/>
        <v>417</v>
      </c>
      <c r="O92" s="222">
        <f t="shared" si="26"/>
        <v>100</v>
      </c>
      <c r="P92" s="222">
        <f t="shared" si="27"/>
        <v>62.55</v>
      </c>
      <c r="Q92" s="250">
        <f t="shared" si="28"/>
        <v>579.54999999999995</v>
      </c>
    </row>
    <row r="93" spans="1:17" s="56" customFormat="1" ht="24.9">
      <c r="A93" s="646">
        <v>72</v>
      </c>
      <c r="B93" s="741"/>
      <c r="C93" s="666" t="s">
        <v>1540</v>
      </c>
      <c r="D93" s="673"/>
      <c r="E93" s="652" t="s">
        <v>136</v>
      </c>
      <c r="F93" s="649">
        <v>1</v>
      </c>
      <c r="G93" s="637">
        <v>33.299999999999997</v>
      </c>
      <c r="H93" s="637">
        <v>10</v>
      </c>
      <c r="I93" s="637">
        <f t="shared" si="32"/>
        <v>333</v>
      </c>
      <c r="J93" s="660">
        <v>100</v>
      </c>
      <c r="K93" s="377">
        <f t="shared" si="33"/>
        <v>49.949999999999996</v>
      </c>
      <c r="L93" s="222">
        <f t="shared" si="23"/>
        <v>482.95</v>
      </c>
      <c r="M93" s="223">
        <f t="shared" si="24"/>
        <v>33.299999999999997</v>
      </c>
      <c r="N93" s="222">
        <f t="shared" si="25"/>
        <v>333</v>
      </c>
      <c r="O93" s="222">
        <f t="shared" si="26"/>
        <v>100</v>
      </c>
      <c r="P93" s="222">
        <f t="shared" si="27"/>
        <v>49.95</v>
      </c>
      <c r="Q93" s="250">
        <f t="shared" si="28"/>
        <v>482.95</v>
      </c>
    </row>
    <row r="94" spans="1:17" s="56" customFormat="1">
      <c r="A94" s="646">
        <v>73</v>
      </c>
      <c r="B94" s="741"/>
      <c r="C94" s="666" t="s">
        <v>1541</v>
      </c>
      <c r="D94" s="673"/>
      <c r="E94" s="652" t="s">
        <v>136</v>
      </c>
      <c r="F94" s="649">
        <v>1</v>
      </c>
      <c r="G94" s="637">
        <v>58</v>
      </c>
      <c r="H94" s="637">
        <v>10</v>
      </c>
      <c r="I94" s="637">
        <f t="shared" si="32"/>
        <v>580</v>
      </c>
      <c r="J94" s="660"/>
      <c r="K94" s="377">
        <f t="shared" si="33"/>
        <v>87</v>
      </c>
      <c r="L94" s="222">
        <f t="shared" si="23"/>
        <v>667</v>
      </c>
      <c r="M94" s="223">
        <f t="shared" si="24"/>
        <v>58</v>
      </c>
      <c r="N94" s="222">
        <f t="shared" si="25"/>
        <v>580</v>
      </c>
      <c r="O94" s="222">
        <f t="shared" si="26"/>
        <v>0</v>
      </c>
      <c r="P94" s="222">
        <f t="shared" si="27"/>
        <v>87</v>
      </c>
      <c r="Q94" s="250">
        <f t="shared" si="28"/>
        <v>667</v>
      </c>
    </row>
    <row r="95" spans="1:17" s="56" customFormat="1">
      <c r="A95" s="646">
        <v>74</v>
      </c>
      <c r="B95" s="741"/>
      <c r="C95" s="666" t="s">
        <v>1542</v>
      </c>
      <c r="D95" s="673"/>
      <c r="E95" s="652" t="s">
        <v>136</v>
      </c>
      <c r="F95" s="649">
        <v>1</v>
      </c>
      <c r="G95" s="637">
        <v>50</v>
      </c>
      <c r="H95" s="637">
        <v>10</v>
      </c>
      <c r="I95" s="637">
        <f t="shared" si="32"/>
        <v>500</v>
      </c>
      <c r="J95" s="660"/>
      <c r="K95" s="377">
        <f t="shared" si="33"/>
        <v>75</v>
      </c>
      <c r="L95" s="222">
        <f t="shared" si="23"/>
        <v>575</v>
      </c>
      <c r="M95" s="223">
        <f t="shared" si="24"/>
        <v>50</v>
      </c>
      <c r="N95" s="222">
        <f t="shared" si="25"/>
        <v>500</v>
      </c>
      <c r="O95" s="222">
        <f t="shared" si="26"/>
        <v>0</v>
      </c>
      <c r="P95" s="222">
        <f t="shared" si="27"/>
        <v>75</v>
      </c>
      <c r="Q95" s="250">
        <f t="shared" si="28"/>
        <v>575</v>
      </c>
    </row>
    <row r="96" spans="1:17">
      <c r="A96" s="646">
        <v>75</v>
      </c>
      <c r="B96" s="741"/>
      <c r="C96" s="666" t="s">
        <v>1543</v>
      </c>
      <c r="D96" s="673"/>
      <c r="E96" s="652" t="s">
        <v>136</v>
      </c>
      <c r="F96" s="649">
        <v>3</v>
      </c>
      <c r="G96" s="637">
        <v>50</v>
      </c>
      <c r="H96" s="637">
        <v>10</v>
      </c>
      <c r="I96" s="637">
        <f t="shared" si="32"/>
        <v>500</v>
      </c>
      <c r="J96" s="660">
        <v>50</v>
      </c>
      <c r="K96" s="377">
        <f t="shared" si="33"/>
        <v>75</v>
      </c>
      <c r="L96" s="222">
        <f t="shared" si="23"/>
        <v>625</v>
      </c>
      <c r="M96" s="223">
        <f t="shared" si="24"/>
        <v>150</v>
      </c>
      <c r="N96" s="222">
        <f t="shared" si="25"/>
        <v>1500</v>
      </c>
      <c r="O96" s="222">
        <f t="shared" si="26"/>
        <v>150</v>
      </c>
      <c r="P96" s="222">
        <f t="shared" si="27"/>
        <v>225</v>
      </c>
      <c r="Q96" s="250">
        <f t="shared" si="28"/>
        <v>1875</v>
      </c>
    </row>
    <row r="97" spans="1:17" ht="15.05" customHeight="1">
      <c r="A97" s="41"/>
      <c r="B97" s="41"/>
      <c r="C97" s="954" t="s">
        <v>99</v>
      </c>
      <c r="D97" s="954"/>
      <c r="E97" s="954"/>
      <c r="F97" s="954"/>
      <c r="G97" s="954"/>
      <c r="H97" s="954"/>
      <c r="I97" s="954"/>
      <c r="J97" s="954"/>
      <c r="K97" s="954"/>
      <c r="L97" s="954"/>
      <c r="M97" s="745">
        <f>SUM(M13:M96)</f>
        <v>3809.68</v>
      </c>
      <c r="N97" s="745">
        <f>SUM(N13:N96)</f>
        <v>38096.78</v>
      </c>
      <c r="O97" s="745">
        <f>SUM(O13:O96)</f>
        <v>44821.459999999992</v>
      </c>
      <c r="P97" s="745">
        <f>SUM(P13:P96)</f>
        <v>5664.5700000000015</v>
      </c>
      <c r="Q97" s="745">
        <f>SUM(Q13:Q96)</f>
        <v>88582.809999999983</v>
      </c>
    </row>
    <row r="98" spans="1:17" s="125" customFormat="1">
      <c r="J98" s="146"/>
    </row>
    <row r="99" spans="1:17" s="122" customFormat="1" ht="12.8" customHeight="1">
      <c r="B99" s="147" t="s">
        <v>54</v>
      </c>
    </row>
    <row r="100" spans="1:17" s="122" customFormat="1" ht="45" customHeight="1">
      <c r="A100"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00" s="926"/>
      <c r="C100" s="926"/>
      <c r="D100" s="926"/>
      <c r="E100" s="926"/>
      <c r="F100" s="926"/>
      <c r="G100" s="926"/>
      <c r="H100" s="926"/>
      <c r="I100" s="926"/>
      <c r="J100" s="926"/>
      <c r="K100" s="926"/>
      <c r="L100" s="926"/>
      <c r="M100" s="926"/>
      <c r="N100" s="926"/>
      <c r="O100" s="926"/>
      <c r="P100" s="926"/>
      <c r="Q100" s="926"/>
    </row>
    <row r="101" spans="1:17" s="122" customFormat="1" ht="76.75" customHeight="1">
      <c r="A101" s="925"/>
      <c r="B101" s="925"/>
      <c r="C101" s="925"/>
      <c r="D101" s="925"/>
      <c r="E101" s="925"/>
      <c r="F101" s="925"/>
      <c r="G101" s="925"/>
      <c r="H101" s="925"/>
      <c r="I101" s="925"/>
      <c r="J101" s="925"/>
      <c r="K101" s="925"/>
      <c r="L101" s="925"/>
      <c r="M101" s="925"/>
      <c r="N101" s="925"/>
      <c r="O101" s="925"/>
      <c r="P101" s="925"/>
      <c r="Q101" s="925"/>
    </row>
    <row r="102" spans="1:17" s="122" customFormat="1" ht="12.8" customHeight="1">
      <c r="B102" s="148"/>
    </row>
    <row r="103" spans="1:17" s="122" customFormat="1" ht="12.8" customHeight="1">
      <c r="B103" s="148"/>
    </row>
    <row r="104" spans="1:17" s="125" customFormat="1">
      <c r="B104" s="125" t="s">
        <v>8</v>
      </c>
      <c r="M104" s="157" t="str">
        <f>Koptame!B39</f>
        <v>Pārbaudīja:</v>
      </c>
      <c r="N104" s="157"/>
      <c r="O104" s="157"/>
      <c r="P104" s="157"/>
      <c r="Q104" s="157"/>
    </row>
    <row r="105" spans="1:17" s="125" customFormat="1">
      <c r="C105" s="628" t="str">
        <f>Koptame!C34</f>
        <v>Arnis Gailītis</v>
      </c>
      <c r="D105" s="628"/>
      <c r="M105" s="628"/>
      <c r="N105" s="922" t="str">
        <f>Koptame!C40</f>
        <v>Dzintra Cīrule</v>
      </c>
      <c r="O105" s="922"/>
      <c r="P105" s="157"/>
      <c r="Q105" s="157"/>
    </row>
    <row r="106" spans="1:17" s="125" customFormat="1">
      <c r="C106" s="629" t="str">
        <f>Koptame!C35</f>
        <v>Sertifikāta Nr.20-5643</v>
      </c>
      <c r="D106" s="629"/>
      <c r="M106" s="629"/>
      <c r="N106" s="923" t="str">
        <f>Koptame!C41</f>
        <v>Sertifikāta Nr.10-0363</v>
      </c>
      <c r="O106" s="923"/>
      <c r="P106" s="157"/>
      <c r="Q106" s="157"/>
    </row>
    <row r="107" spans="1:17" s="125" customFormat="1" collapsed="1">
      <c r="B107" s="146"/>
      <c r="G107" s="146"/>
      <c r="H107" s="146"/>
    </row>
    <row r="108" spans="1:17">
      <c r="B108" s="56"/>
      <c r="C108" s="19"/>
      <c r="D108" s="19"/>
      <c r="G108" s="56"/>
      <c r="H108" s="56"/>
    </row>
    <row r="109" spans="1:17">
      <c r="B109" s="56"/>
      <c r="C109" s="19"/>
      <c r="D109" s="19"/>
      <c r="G109" s="56"/>
      <c r="H109" s="56"/>
    </row>
  </sheetData>
  <mergeCells count="18">
    <mergeCell ref="N105:O105"/>
    <mergeCell ref="N106:O106"/>
    <mergeCell ref="G11:L11"/>
    <mergeCell ref="M11:Q11"/>
    <mergeCell ref="C13:D13"/>
    <mergeCell ref="C97:L97"/>
    <mergeCell ref="A100:Q100"/>
    <mergeCell ref="A101:Q101"/>
    <mergeCell ref="A11:A12"/>
    <mergeCell ref="B11:B12"/>
    <mergeCell ref="C11:D12"/>
    <mergeCell ref="E11:E12"/>
    <mergeCell ref="F11:F12"/>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43"/>
  <sheetViews>
    <sheetView showZeros="0" view="pageBreakPreview" topLeftCell="A10" zoomScale="90" zoomScaleNormal="100" zoomScaleSheetLayoutView="90" workbookViewId="0">
      <selection activeCell="I37" sqref="I37"/>
    </sheetView>
  </sheetViews>
  <sheetFormatPr defaultColWidth="9.125" defaultRowHeight="12.45"/>
  <cols>
    <col min="1" max="1" width="10.25" style="67" customWidth="1"/>
    <col min="2" max="2" width="12.75" style="67" customWidth="1"/>
    <col min="3" max="3" width="32.75" style="67" customWidth="1"/>
    <col min="4" max="4" width="10" style="67" customWidth="1"/>
    <col min="5" max="5" width="13.25" style="67" customWidth="1"/>
    <col min="6" max="6" width="13.75" style="67" customWidth="1"/>
    <col min="7" max="7" width="17.625" style="67" customWidth="1"/>
    <col min="8" max="8" width="12.875" style="67" customWidth="1"/>
    <col min="9" max="9" width="16" style="67" customWidth="1"/>
    <col min="10" max="16384" width="9.125" style="67"/>
  </cols>
  <sheetData>
    <row r="1" spans="1:9" ht="17.7">
      <c r="A1" s="66"/>
    </row>
    <row r="2" spans="1:9" ht="18" customHeight="1">
      <c r="A2" s="906" t="s">
        <v>90</v>
      </c>
      <c r="B2" s="906"/>
      <c r="C2" s="906"/>
      <c r="D2" s="906"/>
      <c r="E2" s="906"/>
      <c r="F2" s="906"/>
      <c r="G2" s="906"/>
      <c r="H2" s="906"/>
      <c r="I2" s="906"/>
    </row>
    <row r="3" spans="1:9" ht="17.7">
      <c r="C3" s="68"/>
      <c r="D3" s="69"/>
      <c r="F3" s="73"/>
      <c r="G3" s="73"/>
      <c r="H3" s="73"/>
      <c r="I3" s="73"/>
    </row>
    <row r="4" spans="1:9" ht="17.7">
      <c r="C4" s="68"/>
      <c r="D4" s="69"/>
      <c r="F4" s="73"/>
      <c r="G4" s="73"/>
      <c r="H4" s="73"/>
      <c r="I4" s="73"/>
    </row>
    <row r="5" spans="1:9">
      <c r="A5" s="72"/>
    </row>
    <row r="6" spans="1:9" ht="17.7">
      <c r="A6" s="897" t="str">
        <f>Koptame!C23</f>
        <v>Specializētie darbi-ārējie tīkli, sistēmas</v>
      </c>
      <c r="B6" s="898"/>
      <c r="C6" s="898"/>
      <c r="D6" s="898"/>
      <c r="E6" s="898"/>
      <c r="F6" s="898"/>
      <c r="G6" s="898"/>
      <c r="H6" s="898"/>
      <c r="I6" s="899"/>
    </row>
    <row r="7" spans="1:9">
      <c r="A7" s="72"/>
    </row>
    <row r="8" spans="1:9" ht="15.05">
      <c r="A8" s="909" t="s">
        <v>9</v>
      </c>
      <c r="B8" s="909"/>
      <c r="C8" s="915" t="str">
        <f>Koptame!C11</f>
        <v>Ražošanas ēka</v>
      </c>
      <c r="D8" s="915"/>
      <c r="E8" s="915"/>
      <c r="F8" s="915"/>
      <c r="G8" s="915"/>
      <c r="H8" s="915"/>
      <c r="I8" s="915"/>
    </row>
    <row r="9" spans="1:9" ht="15.75" customHeight="1">
      <c r="A9" s="900" t="s">
        <v>27</v>
      </c>
      <c r="B9" s="900"/>
      <c r="C9" s="915" t="str">
        <f>Koptame!C12</f>
        <v>Ražošanas ēkas Nr.7 jaunbūve</v>
      </c>
      <c r="D9" s="915"/>
      <c r="E9" s="915"/>
      <c r="F9" s="915"/>
      <c r="G9" s="915"/>
      <c r="H9" s="915"/>
      <c r="I9" s="915"/>
    </row>
    <row r="10" spans="1:9" ht="15.05">
      <c r="A10" s="900" t="s">
        <v>10</v>
      </c>
      <c r="B10" s="900"/>
      <c r="C10" s="915" t="str">
        <f>Koptame!C13</f>
        <v>Ventspils, Ventspils Augsto tehnoloģiju parks</v>
      </c>
      <c r="D10" s="915"/>
      <c r="E10" s="915"/>
      <c r="F10" s="915"/>
      <c r="G10" s="915"/>
      <c r="H10" s="915"/>
      <c r="I10" s="915"/>
    </row>
    <row r="11" spans="1:9" ht="15.05">
      <c r="A11" s="900" t="str">
        <f>Koptame!B14</f>
        <v>Pasūtījuma Nr.</v>
      </c>
      <c r="B11" s="900"/>
      <c r="C11" s="98" t="str">
        <f>Koptame!C14</f>
        <v>2016-04</v>
      </c>
      <c r="D11" s="73"/>
      <c r="F11" s="74"/>
      <c r="G11" s="74"/>
      <c r="H11" s="74"/>
      <c r="I11" s="74"/>
    </row>
    <row r="12" spans="1:9" ht="15.05" customHeight="1">
      <c r="A12" s="163"/>
      <c r="B12" s="163"/>
      <c r="C12" s="73"/>
      <c r="D12" s="73"/>
      <c r="F12" s="74"/>
      <c r="G12" s="74"/>
      <c r="H12" s="74"/>
      <c r="I12" s="74"/>
    </row>
    <row r="13" spans="1:9" ht="18" customHeight="1">
      <c r="A13" s="75"/>
      <c r="F13" s="907" t="s">
        <v>63</v>
      </c>
      <c r="G13" s="908"/>
      <c r="H13" s="70">
        <f>E32</f>
        <v>286714.14</v>
      </c>
      <c r="I13" s="71"/>
    </row>
    <row r="14" spans="1:9" ht="17.7">
      <c r="A14" s="75"/>
      <c r="F14" s="907" t="s">
        <v>14</v>
      </c>
      <c r="G14" s="908"/>
      <c r="H14" s="70">
        <f>I28</f>
        <v>6626.67</v>
      </c>
      <c r="I14" s="71"/>
    </row>
    <row r="15" spans="1:9" ht="14.4">
      <c r="G15" s="12" t="str">
        <f>Koptame!D16</f>
        <v>Tāme sastādīta:  2018.gada 19. februāris</v>
      </c>
    </row>
    <row r="16" spans="1:9" ht="14.4">
      <c r="G16" s="12"/>
    </row>
    <row r="17" spans="1:9" ht="15.05">
      <c r="A17" s="76"/>
    </row>
    <row r="18" spans="1:9" ht="51.05" customHeight="1">
      <c r="A18" s="901" t="s">
        <v>15</v>
      </c>
      <c r="B18" s="901" t="s">
        <v>16</v>
      </c>
      <c r="C18" s="902" t="s">
        <v>96</v>
      </c>
      <c r="D18" s="903"/>
      <c r="E18" s="901" t="s">
        <v>64</v>
      </c>
      <c r="F18" s="901" t="s">
        <v>17</v>
      </c>
      <c r="G18" s="901"/>
      <c r="H18" s="901"/>
      <c r="I18" s="901" t="s">
        <v>18</v>
      </c>
    </row>
    <row r="19" spans="1:9" ht="40.75" customHeight="1">
      <c r="A19" s="901"/>
      <c r="B19" s="901"/>
      <c r="C19" s="904"/>
      <c r="D19" s="905"/>
      <c r="E19" s="901"/>
      <c r="F19" s="162" t="s">
        <v>65</v>
      </c>
      <c r="G19" s="162" t="s">
        <v>66</v>
      </c>
      <c r="H19" s="162" t="s">
        <v>67</v>
      </c>
      <c r="I19" s="901"/>
    </row>
    <row r="20" spans="1:9" ht="17.7">
      <c r="A20" s="77"/>
      <c r="B20" s="78"/>
      <c r="C20" s="917"/>
      <c r="D20" s="918"/>
      <c r="E20" s="78"/>
      <c r="F20" s="78"/>
      <c r="G20" s="78"/>
      <c r="H20" s="78"/>
      <c r="I20" s="79"/>
    </row>
    <row r="21" spans="1:9" ht="13.1">
      <c r="A21" s="80">
        <v>1</v>
      </c>
      <c r="B21" s="81" t="s">
        <v>70</v>
      </c>
      <c r="C21" s="912" t="s">
        <v>44</v>
      </c>
      <c r="D21" s="913"/>
      <c r="E21" s="64">
        <f>'3,1'!Q50</f>
        <v>20559.770000000004</v>
      </c>
      <c r="F21" s="64">
        <f>'3,1'!N50</f>
        <v>7417.2</v>
      </c>
      <c r="G21" s="64">
        <f>'3,1'!O50</f>
        <v>8647.01</v>
      </c>
      <c r="H21" s="64">
        <f>'3,1'!P50</f>
        <v>4495.5599999999995</v>
      </c>
      <c r="I21" s="65">
        <f>'3,1'!M50</f>
        <v>741.72000000000014</v>
      </c>
    </row>
    <row r="22" spans="1:9" ht="13.1">
      <c r="A22" s="80">
        <v>2</v>
      </c>
      <c r="B22" s="81" t="s">
        <v>71</v>
      </c>
      <c r="C22" s="912" t="s">
        <v>861</v>
      </c>
      <c r="D22" s="913"/>
      <c r="E22" s="64">
        <f>'3,2'!Q42</f>
        <v>8985.52</v>
      </c>
      <c r="F22" s="64">
        <f>'3,2'!N42</f>
        <v>3118</v>
      </c>
      <c r="G22" s="64">
        <f>'3,2'!O42</f>
        <v>3604.59</v>
      </c>
      <c r="H22" s="64">
        <f>'3,2'!P42</f>
        <v>2262.9299999999998</v>
      </c>
      <c r="I22" s="65">
        <f>'3,2'!M42</f>
        <v>311.8</v>
      </c>
    </row>
    <row r="23" spans="1:9" ht="13.1">
      <c r="A23" s="80">
        <v>3</v>
      </c>
      <c r="B23" s="81" t="s">
        <v>72</v>
      </c>
      <c r="C23" s="912" t="s">
        <v>45</v>
      </c>
      <c r="D23" s="913"/>
      <c r="E23" s="64">
        <f>'3,3'!Q45</f>
        <v>77648.73</v>
      </c>
      <c r="F23" s="64">
        <f>'3,3'!N45</f>
        <v>28217</v>
      </c>
      <c r="G23" s="64">
        <f>'3,3'!O45</f>
        <v>31001.700000000004</v>
      </c>
      <c r="H23" s="64">
        <f>'3,3'!P45</f>
        <v>18430.03</v>
      </c>
      <c r="I23" s="65">
        <f>'3,3'!M45</f>
        <v>2821.7</v>
      </c>
    </row>
    <row r="24" spans="1:9" ht="29.95" customHeight="1">
      <c r="A24" s="80">
        <v>4</v>
      </c>
      <c r="B24" s="81" t="s">
        <v>73</v>
      </c>
      <c r="C24" s="912" t="s">
        <v>864</v>
      </c>
      <c r="D24" s="913"/>
      <c r="E24" s="64">
        <f>'3,4'!Q56</f>
        <v>16849.169999999998</v>
      </c>
      <c r="F24" s="64">
        <f>'3,4'!N56</f>
        <v>4384.4799999999996</v>
      </c>
      <c r="G24" s="64">
        <f>'3,4'!O56</f>
        <v>11995.199999999999</v>
      </c>
      <c r="H24" s="64">
        <f>'3,4'!P56</f>
        <v>469.49</v>
      </c>
      <c r="I24" s="65">
        <f>'3,4'!M56</f>
        <v>439.40999999999997</v>
      </c>
    </row>
    <row r="25" spans="1:9" ht="12.8" customHeight="1">
      <c r="A25" s="80">
        <v>5</v>
      </c>
      <c r="B25" s="81" t="s">
        <v>74</v>
      </c>
      <c r="C25" s="912" t="s">
        <v>863</v>
      </c>
      <c r="D25" s="913"/>
      <c r="E25" s="64">
        <f>'3,5'!P64</f>
        <v>12198.849999999999</v>
      </c>
      <c r="F25" s="64">
        <f>'3,5'!M64</f>
        <v>3720</v>
      </c>
      <c r="G25" s="64">
        <f>'3,5'!N64</f>
        <v>7586.4299999999976</v>
      </c>
      <c r="H25" s="64">
        <f>'3,5'!O64</f>
        <v>892.42000000000019</v>
      </c>
      <c r="I25" s="65">
        <f>'3,5'!L64</f>
        <v>372</v>
      </c>
    </row>
    <row r="26" spans="1:9" ht="12.8" customHeight="1">
      <c r="A26" s="80">
        <v>6</v>
      </c>
      <c r="B26" s="81" t="s">
        <v>75</v>
      </c>
      <c r="C26" s="912" t="s">
        <v>862</v>
      </c>
      <c r="D26" s="913"/>
      <c r="E26" s="64">
        <f>'3,6'!P60</f>
        <v>22290.380000000005</v>
      </c>
      <c r="F26" s="64">
        <f>'3,6'!M60</f>
        <v>11288</v>
      </c>
      <c r="G26" s="64">
        <f>'3,6'!N60</f>
        <v>9041.58</v>
      </c>
      <c r="H26" s="64">
        <f>'3,6'!O60</f>
        <v>1960.8</v>
      </c>
      <c r="I26" s="65">
        <f>'3,6'!L60</f>
        <v>1128.8</v>
      </c>
    </row>
    <row r="27" spans="1:9" ht="13.1" customHeight="1">
      <c r="A27" s="83">
        <v>7</v>
      </c>
      <c r="B27" s="84" t="s">
        <v>1750</v>
      </c>
      <c r="C27" s="912" t="s">
        <v>1853</v>
      </c>
      <c r="D27" s="913"/>
      <c r="E27" s="82">
        <f>'3,7'!P72</f>
        <v>97462.35</v>
      </c>
      <c r="F27" s="82">
        <f>'3,7'!M72</f>
        <v>7911.84</v>
      </c>
      <c r="G27" s="82">
        <f>'3,7'!N72</f>
        <v>88071.41</v>
      </c>
      <c r="H27" s="82">
        <f>'3,7'!O72</f>
        <v>1479.1</v>
      </c>
      <c r="I27" s="85">
        <f>'3,7'!L72</f>
        <v>811.24</v>
      </c>
    </row>
    <row r="28" spans="1:9" ht="16.55" customHeight="1">
      <c r="A28" s="161"/>
      <c r="B28" s="161"/>
      <c r="C28" s="86" t="s">
        <v>19</v>
      </c>
      <c r="D28" s="86"/>
      <c r="E28" s="87">
        <f>SUM(E21:E27)</f>
        <v>255994.77000000002</v>
      </c>
      <c r="F28" s="87">
        <f t="shared" ref="F28:I28" si="0">SUM(F21:F27)</f>
        <v>66056.51999999999</v>
      </c>
      <c r="G28" s="87">
        <f t="shared" si="0"/>
        <v>159947.91999999998</v>
      </c>
      <c r="H28" s="87">
        <f t="shared" si="0"/>
        <v>29990.329999999998</v>
      </c>
      <c r="I28" s="87">
        <f t="shared" si="0"/>
        <v>6626.67</v>
      </c>
    </row>
    <row r="29" spans="1:9" ht="15.05">
      <c r="A29" s="916" t="s">
        <v>42</v>
      </c>
      <c r="B29" s="916"/>
      <c r="C29" s="916"/>
      <c r="D29" s="88">
        <f>kops1!$D$34</f>
        <v>7.0000000000000007E-2</v>
      </c>
      <c r="E29" s="89">
        <f>ROUND(E28*D29,2)</f>
        <v>17919.63</v>
      </c>
    </row>
    <row r="30" spans="1:9" ht="15.75">
      <c r="A30" s="160"/>
      <c r="B30" s="160"/>
      <c r="C30" s="143" t="s">
        <v>53</v>
      </c>
      <c r="D30" s="88"/>
      <c r="E30" s="89">
        <f>E29*0.1</f>
        <v>1791.9630000000002</v>
      </c>
    </row>
    <row r="31" spans="1:9" ht="15.05">
      <c r="A31" s="916" t="s">
        <v>28</v>
      </c>
      <c r="B31" s="916"/>
      <c r="C31" s="916"/>
      <c r="D31" s="88">
        <f>kops1!$D$36</f>
        <v>0.05</v>
      </c>
      <c r="E31" s="89">
        <f>ROUND(E28*D31,2)</f>
        <v>12799.74</v>
      </c>
    </row>
    <row r="32" spans="1:9" ht="18" customHeight="1">
      <c r="A32" s="914"/>
      <c r="B32" s="914"/>
      <c r="C32" s="86" t="s">
        <v>20</v>
      </c>
      <c r="D32" s="86"/>
      <c r="E32" s="90">
        <f>E31+E29+E28</f>
        <v>286714.14</v>
      </c>
    </row>
    <row r="33" spans="1:6" ht="17.7">
      <c r="A33" s="91"/>
    </row>
    <row r="34" spans="1:6" ht="17.7">
      <c r="A34" s="91"/>
    </row>
    <row r="35" spans="1:6" ht="14.4">
      <c r="A35" s="92"/>
      <c r="B35" s="2" t="s">
        <v>8</v>
      </c>
      <c r="C35" s="3"/>
      <c r="F35" s="74"/>
    </row>
    <row r="36" spans="1:6" ht="14.4">
      <c r="A36" s="74"/>
      <c r="B36" s="3"/>
      <c r="C36" s="164" t="str">
        <f>Koptame!C34</f>
        <v>Arnis Gailītis</v>
      </c>
      <c r="D36" s="93"/>
      <c r="E36" s="93"/>
      <c r="F36" s="74"/>
    </row>
    <row r="37" spans="1:6" ht="14.4">
      <c r="A37" s="94"/>
      <c r="B37" s="2"/>
      <c r="C37" s="165" t="str">
        <f>Koptame!C35</f>
        <v>Sertifikāta Nr.20-5643</v>
      </c>
      <c r="D37" s="74"/>
      <c r="E37" s="74"/>
      <c r="F37" s="74"/>
    </row>
    <row r="38" spans="1:6" ht="14.4">
      <c r="B38" s="2"/>
      <c r="C38" s="165"/>
    </row>
    <row r="39" spans="1:6" ht="14.4">
      <c r="B39" s="2"/>
      <c r="C39" s="165"/>
    </row>
    <row r="40" spans="1:6" ht="14.4">
      <c r="B40" s="4"/>
      <c r="C40" s="1"/>
    </row>
    <row r="41" spans="1:6" ht="14.4">
      <c r="B41" s="2" t="str">
        <f>Koptame!B39</f>
        <v>Pārbaudīja:</v>
      </c>
      <c r="C41" s="124"/>
    </row>
    <row r="42" spans="1:6" ht="14.4">
      <c r="B42" s="3"/>
      <c r="C42" s="164" t="str">
        <f>Koptame!C40</f>
        <v>Dzintra Cīrule</v>
      </c>
    </row>
    <row r="43" spans="1:6" ht="14.4">
      <c r="B43" s="2"/>
      <c r="C43" s="165" t="str">
        <f>Koptame!C41</f>
        <v>Sertifikāta Nr.10-0363</v>
      </c>
    </row>
  </sheetData>
  <mergeCells count="28">
    <mergeCell ref="A31:C31"/>
    <mergeCell ref="A32:B32"/>
    <mergeCell ref="C27:D27"/>
    <mergeCell ref="A29:C29"/>
    <mergeCell ref="I18:I19"/>
    <mergeCell ref="C20:D20"/>
    <mergeCell ref="C21:D21"/>
    <mergeCell ref="C22:D22"/>
    <mergeCell ref="C23:D23"/>
    <mergeCell ref="A18:A19"/>
    <mergeCell ref="B18:B19"/>
    <mergeCell ref="C18:D19"/>
    <mergeCell ref="E18:E19"/>
    <mergeCell ref="F18:H18"/>
    <mergeCell ref="C24:D24"/>
    <mergeCell ref="C25:D25"/>
    <mergeCell ref="C26:D26"/>
    <mergeCell ref="A2:I2"/>
    <mergeCell ref="A6:I6"/>
    <mergeCell ref="A8:B8"/>
    <mergeCell ref="C8:I8"/>
    <mergeCell ref="A9:B9"/>
    <mergeCell ref="C9:I9"/>
    <mergeCell ref="A10:B10"/>
    <mergeCell ref="C10:I10"/>
    <mergeCell ref="A11:B11"/>
    <mergeCell ref="F13:G13"/>
    <mergeCell ref="F14:G14"/>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Q60"/>
  <sheetViews>
    <sheetView showZeros="0" view="pageBreakPreview" topLeftCell="A10" zoomScale="90" zoomScaleNormal="80" zoomScaleSheetLayoutView="90" workbookViewId="0">
      <selection activeCell="D27" sqref="D27"/>
    </sheetView>
  </sheetViews>
  <sheetFormatPr defaultColWidth="9.125" defaultRowHeight="14.4"/>
  <cols>
    <col min="1" max="1" width="9" style="19" customWidth="1"/>
    <col min="2" max="2" width="9.375" style="56" customWidth="1"/>
    <col min="3" max="3" width="40.25" style="19" customWidth="1"/>
    <col min="4" max="4" width="17.125" style="19" customWidth="1"/>
    <col min="5" max="5" width="8.125" style="19" customWidth="1"/>
    <col min="6" max="6" width="9.125" style="19"/>
    <col min="7" max="8" width="9.125" style="56"/>
    <col min="9" max="12" width="9.125" style="19"/>
    <col min="13" max="13" width="14.375" style="19" customWidth="1"/>
    <col min="14" max="14" width="12.25" style="19" customWidth="1"/>
    <col min="15" max="15" width="12.75" style="19" customWidth="1"/>
    <col min="16" max="16" width="11.625" style="19" customWidth="1"/>
    <col min="17" max="17" width="13.625" style="19" customWidth="1"/>
    <col min="18" max="16384" width="9.125" style="19"/>
  </cols>
  <sheetData>
    <row r="1" spans="1:17" s="24" customFormat="1">
      <c r="B1" s="53"/>
      <c r="F1" s="21"/>
      <c r="G1" s="118"/>
      <c r="H1" s="181" t="s">
        <v>92</v>
      </c>
      <c r="I1" s="121" t="str">
        <f>kops3!B21</f>
        <v>3,1</v>
      </c>
    </row>
    <row r="2" spans="1:17" s="24" customFormat="1">
      <c r="A2" s="919" t="str">
        <f>C13</f>
        <v>Ārējais ūdensvads</v>
      </c>
      <c r="B2" s="919"/>
      <c r="C2" s="919"/>
      <c r="D2" s="919"/>
      <c r="E2" s="919"/>
      <c r="F2" s="919"/>
      <c r="G2" s="919"/>
      <c r="H2" s="919"/>
      <c r="I2" s="919"/>
      <c r="J2" s="919"/>
      <c r="K2" s="919"/>
      <c r="L2" s="919"/>
      <c r="M2" s="919"/>
      <c r="N2" s="919"/>
      <c r="O2" s="919"/>
      <c r="P2" s="919"/>
      <c r="Q2" s="919"/>
    </row>
    <row r="3" spans="1:17">
      <c r="A3" s="20"/>
      <c r="B3" s="112"/>
      <c r="C3" s="20" t="s">
        <v>11</v>
      </c>
      <c r="D3" s="20"/>
      <c r="E3" s="921" t="str">
        <f>Koptame!C11</f>
        <v>Ražošanas ēka</v>
      </c>
      <c r="F3" s="921"/>
      <c r="G3" s="921"/>
      <c r="H3" s="921"/>
      <c r="I3" s="921"/>
      <c r="J3" s="921"/>
      <c r="K3" s="921"/>
      <c r="L3" s="921"/>
      <c r="M3" s="921"/>
      <c r="N3" s="921"/>
      <c r="O3" s="921"/>
      <c r="P3" s="921"/>
      <c r="Q3" s="921"/>
    </row>
    <row r="4" spans="1:17">
      <c r="A4" s="20"/>
      <c r="B4" s="112"/>
      <c r="C4" s="20" t="s">
        <v>12</v>
      </c>
      <c r="D4" s="20"/>
      <c r="E4" s="921" t="str">
        <f>Koptame!C12</f>
        <v>Ražošanas ēkas Nr.7 jaunbūve</v>
      </c>
      <c r="F4" s="921"/>
      <c r="G4" s="921"/>
      <c r="H4" s="921"/>
      <c r="I4" s="921"/>
      <c r="J4" s="921"/>
      <c r="K4" s="921"/>
      <c r="L4" s="921"/>
      <c r="M4" s="921"/>
      <c r="N4" s="921"/>
      <c r="O4" s="921"/>
      <c r="P4" s="921"/>
      <c r="Q4" s="921"/>
    </row>
    <row r="5" spans="1:17">
      <c r="A5" s="20"/>
      <c r="B5" s="112"/>
      <c r="C5" s="20" t="s">
        <v>13</v>
      </c>
      <c r="D5" s="20"/>
      <c r="E5" s="921" t="str">
        <f>Koptame!C13</f>
        <v>Ventspils, Ventspils Augsto tehnoloģiju parks</v>
      </c>
      <c r="F5" s="921"/>
      <c r="G5" s="921"/>
      <c r="H5" s="921"/>
      <c r="I5" s="921"/>
      <c r="J5" s="921"/>
      <c r="K5" s="921"/>
      <c r="L5" s="921"/>
      <c r="M5" s="921"/>
      <c r="N5" s="921"/>
      <c r="O5" s="921"/>
      <c r="P5" s="921"/>
      <c r="Q5" s="921"/>
    </row>
    <row r="6" spans="1:17">
      <c r="A6" s="20"/>
      <c r="B6" s="112"/>
      <c r="C6" s="20" t="str">
        <f>Koptame!B14</f>
        <v>Pasūtījuma Nr.</v>
      </c>
      <c r="D6" s="20"/>
      <c r="E6" s="22" t="str">
        <f>Koptame!C14</f>
        <v>2016-04</v>
      </c>
      <c r="F6" s="43"/>
      <c r="G6" s="54"/>
      <c r="H6" s="54"/>
      <c r="I6" s="43"/>
      <c r="J6" s="43"/>
      <c r="K6" s="43"/>
      <c r="L6" s="43"/>
      <c r="M6" s="43"/>
      <c r="N6" s="43"/>
      <c r="O6" s="43"/>
      <c r="P6" s="43"/>
      <c r="Q6" s="25"/>
    </row>
    <row r="7" spans="1:17">
      <c r="A7" s="3" t="str">
        <f>Koptame!B17</f>
        <v>Tāme sastādīta 2018.gada tirgus cenās, pamatojoties uz SIA „Baltex Group” būvprojekta rasējumiem un darbu apjomiem</v>
      </c>
      <c r="B7" s="113"/>
      <c r="E7" s="22"/>
      <c r="F7" s="22"/>
      <c r="G7" s="55"/>
      <c r="H7" s="55"/>
      <c r="I7" s="22"/>
      <c r="J7" s="22"/>
      <c r="K7" s="22"/>
      <c r="L7" s="43"/>
      <c r="M7" s="43"/>
      <c r="N7" s="43"/>
      <c r="O7" s="43"/>
      <c r="P7" s="20" t="s">
        <v>87</v>
      </c>
      <c r="Q7" s="26">
        <f>Q50</f>
        <v>20559.770000000004</v>
      </c>
    </row>
    <row r="8" spans="1:17">
      <c r="A8" s="23"/>
      <c r="B8" s="112"/>
      <c r="E8" s="27"/>
      <c r="F8" s="43"/>
      <c r="G8" s="54"/>
      <c r="H8" s="54"/>
      <c r="I8" s="43"/>
      <c r="J8" s="43"/>
      <c r="K8" s="43"/>
      <c r="L8" s="43"/>
      <c r="O8" s="43"/>
      <c r="P8" s="43"/>
      <c r="Q8" s="25"/>
    </row>
    <row r="9" spans="1:17" ht="15.05" customHeight="1">
      <c r="A9" s="45"/>
      <c r="B9" s="114"/>
      <c r="K9" s="44"/>
      <c r="L9" s="44"/>
      <c r="M9" s="920" t="str">
        <f>Koptame!D16</f>
        <v>Tāme sastādīta:  2018.gada 19. februāris</v>
      </c>
      <c r="N9" s="920"/>
      <c r="O9" s="920"/>
      <c r="P9" s="920"/>
      <c r="Q9" s="44"/>
    </row>
    <row r="10" spans="1:17" ht="15.05">
      <c r="A10" s="45"/>
      <c r="B10" s="114"/>
    </row>
    <row r="11" spans="1:17" ht="14.25" customHeight="1">
      <c r="A11" s="927" t="s">
        <v>15</v>
      </c>
      <c r="B11" s="928" t="s">
        <v>21</v>
      </c>
      <c r="C11" s="940" t="s">
        <v>97</v>
      </c>
      <c r="D11" s="941"/>
      <c r="E11" s="931" t="s">
        <v>22</v>
      </c>
      <c r="F11" s="927" t="s">
        <v>23</v>
      </c>
      <c r="G11" s="924" t="s">
        <v>24</v>
      </c>
      <c r="H11" s="924"/>
      <c r="I11" s="924"/>
      <c r="J11" s="924"/>
      <c r="K11" s="924"/>
      <c r="L11" s="924"/>
      <c r="M11" s="924" t="s">
        <v>25</v>
      </c>
      <c r="N11" s="924"/>
      <c r="O11" s="924"/>
      <c r="P11" s="924"/>
      <c r="Q11" s="924"/>
    </row>
    <row r="12" spans="1:17" ht="73.5" customHeight="1">
      <c r="A12" s="927"/>
      <c r="B12" s="929"/>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322"/>
      <c r="B13" s="323"/>
      <c r="C13" s="955" t="str">
        <f>kops3!C21</f>
        <v>Ārējais ūdensvads</v>
      </c>
      <c r="D13" s="950"/>
      <c r="E13" s="212"/>
      <c r="F13" s="213"/>
      <c r="G13" s="324"/>
      <c r="H13" s="325"/>
      <c r="I13" s="325"/>
      <c r="J13" s="326"/>
      <c r="K13" s="326"/>
      <c r="L13" s="326">
        <f t="shared" ref="L13" si="0">SUM(I13:K13)</f>
        <v>0</v>
      </c>
      <c r="M13" s="327">
        <f t="shared" ref="M13" si="1">ROUND(G13*F13,2)</f>
        <v>0</v>
      </c>
      <c r="N13" s="326">
        <f t="shared" ref="N13" si="2">ROUND(I13*F13,2)</f>
        <v>0</v>
      </c>
      <c r="O13" s="326">
        <f t="shared" ref="O13" si="3">ROUND(J13*F13,2)</f>
        <v>0</v>
      </c>
      <c r="P13" s="326">
        <f t="shared" ref="P13" si="4">ROUND(K13*F13,2)</f>
        <v>0</v>
      </c>
      <c r="Q13" s="328">
        <f t="shared" ref="Q13" si="5">SUM(N13:P13)</f>
        <v>0</v>
      </c>
    </row>
    <row r="14" spans="1:17" s="56" customFormat="1">
      <c r="A14" s="746"/>
      <c r="B14" s="583"/>
      <c r="C14" s="320" t="s">
        <v>865</v>
      </c>
      <c r="D14" s="320"/>
      <c r="E14" s="320"/>
      <c r="F14" s="287"/>
      <c r="G14" s="275">
        <f>IFERROR(ROUND(I14/H14,2),0)</f>
        <v>0</v>
      </c>
      <c r="H14" s="275">
        <f>IF(I14&gt;0,5,0)</f>
        <v>0</v>
      </c>
      <c r="I14" s="316"/>
      <c r="J14" s="316"/>
      <c r="K14" s="316"/>
      <c r="L14" s="275">
        <f t="shared" ref="L14:L48" si="6">SUM(I14:K14)</f>
        <v>0</v>
      </c>
      <c r="M14" s="275">
        <f>ROUND(G14*F14,2)</f>
        <v>0</v>
      </c>
      <c r="N14" s="275">
        <f t="shared" ref="N14:N48" si="7">ROUND(I14*F14,2)</f>
        <v>0</v>
      </c>
      <c r="O14" s="275">
        <f t="shared" ref="O14:O48" si="8">ROUND(J14*F14,2)</f>
        <v>0</v>
      </c>
      <c r="P14" s="275">
        <f t="shared" ref="P14:P48" si="9">ROUND(K14*F14,2)</f>
        <v>0</v>
      </c>
      <c r="Q14" s="286">
        <f t="shared" ref="Q14:Q48" si="10">SUM(N14:P14)</f>
        <v>0</v>
      </c>
    </row>
    <row r="15" spans="1:17" s="56" customFormat="1">
      <c r="A15" s="747">
        <v>1</v>
      </c>
      <c r="B15" s="583"/>
      <c r="C15" s="263" t="s">
        <v>866</v>
      </c>
      <c r="D15" s="270" t="s">
        <v>867</v>
      </c>
      <c r="E15" s="315" t="s">
        <v>111</v>
      </c>
      <c r="F15" s="270">
        <v>140</v>
      </c>
      <c r="G15" s="583"/>
      <c r="H15" s="583"/>
      <c r="I15" s="583"/>
      <c r="J15" s="316">
        <v>14.37</v>
      </c>
      <c r="K15" s="583"/>
      <c r="L15" s="102">
        <f t="shared" si="6"/>
        <v>14.37</v>
      </c>
      <c r="M15" s="50">
        <f t="shared" ref="M15:M48" si="11">ROUND(G15*F15,2)</f>
        <v>0</v>
      </c>
      <c r="N15" s="102">
        <f t="shared" si="7"/>
        <v>0</v>
      </c>
      <c r="O15" s="102">
        <f t="shared" si="8"/>
        <v>2011.8</v>
      </c>
      <c r="P15" s="102">
        <f t="shared" si="9"/>
        <v>0</v>
      </c>
      <c r="Q15" s="103">
        <f t="shared" si="10"/>
        <v>2011.8</v>
      </c>
    </row>
    <row r="16" spans="1:17" s="56" customFormat="1">
      <c r="A16" s="747">
        <v>2</v>
      </c>
      <c r="B16" s="583"/>
      <c r="C16" s="317" t="s">
        <v>866</v>
      </c>
      <c r="D16" s="270" t="s">
        <v>199</v>
      </c>
      <c r="E16" s="270" t="s">
        <v>111</v>
      </c>
      <c r="F16" s="318">
        <v>6</v>
      </c>
      <c r="G16" s="315"/>
      <c r="H16" s="266"/>
      <c r="I16" s="222"/>
      <c r="J16" s="316">
        <v>6.45</v>
      </c>
      <c r="K16" s="316"/>
      <c r="L16" s="102">
        <f t="shared" si="6"/>
        <v>6.45</v>
      </c>
      <c r="M16" s="50">
        <f t="shared" si="11"/>
        <v>0</v>
      </c>
      <c r="N16" s="102">
        <f t="shared" si="7"/>
        <v>0</v>
      </c>
      <c r="O16" s="102">
        <f t="shared" si="8"/>
        <v>38.700000000000003</v>
      </c>
      <c r="P16" s="102">
        <f t="shared" si="9"/>
        <v>0</v>
      </c>
      <c r="Q16" s="103">
        <f t="shared" si="10"/>
        <v>38.700000000000003</v>
      </c>
    </row>
    <row r="17" spans="1:17" s="56" customFormat="1" ht="62.2">
      <c r="A17" s="747">
        <v>3</v>
      </c>
      <c r="B17" s="583"/>
      <c r="C17" s="317" t="s">
        <v>868</v>
      </c>
      <c r="D17" s="270" t="s">
        <v>869</v>
      </c>
      <c r="E17" s="270" t="s">
        <v>118</v>
      </c>
      <c r="F17" s="318">
        <v>1</v>
      </c>
      <c r="G17" s="272"/>
      <c r="H17" s="266"/>
      <c r="I17" s="222"/>
      <c r="J17" s="316">
        <v>234.23</v>
      </c>
      <c r="K17" s="316"/>
      <c r="L17" s="102">
        <f t="shared" si="6"/>
        <v>234.23</v>
      </c>
      <c r="M17" s="50">
        <f t="shared" si="11"/>
        <v>0</v>
      </c>
      <c r="N17" s="102">
        <f t="shared" si="7"/>
        <v>0</v>
      </c>
      <c r="O17" s="102">
        <f t="shared" si="8"/>
        <v>234.23</v>
      </c>
      <c r="P17" s="102">
        <f t="shared" si="9"/>
        <v>0</v>
      </c>
      <c r="Q17" s="103">
        <f t="shared" si="10"/>
        <v>234.23</v>
      </c>
    </row>
    <row r="18" spans="1:17" s="56" customFormat="1">
      <c r="A18" s="747">
        <v>4</v>
      </c>
      <c r="B18" s="583"/>
      <c r="C18" s="263" t="s">
        <v>870</v>
      </c>
      <c r="D18" s="270"/>
      <c r="E18" s="270" t="s">
        <v>118</v>
      </c>
      <c r="F18" s="318">
        <v>2</v>
      </c>
      <c r="G18" s="272"/>
      <c r="H18" s="266"/>
      <c r="I18" s="222"/>
      <c r="J18" s="316">
        <v>100.41</v>
      </c>
      <c r="K18" s="316"/>
      <c r="L18" s="102">
        <f t="shared" si="6"/>
        <v>100.41</v>
      </c>
      <c r="M18" s="50">
        <f t="shared" si="11"/>
        <v>0</v>
      </c>
      <c r="N18" s="102">
        <f t="shared" si="7"/>
        <v>0</v>
      </c>
      <c r="O18" s="102">
        <f t="shared" si="8"/>
        <v>200.82</v>
      </c>
      <c r="P18" s="102">
        <f t="shared" si="9"/>
        <v>0</v>
      </c>
      <c r="Q18" s="103">
        <f t="shared" si="10"/>
        <v>200.82</v>
      </c>
    </row>
    <row r="19" spans="1:17" s="56" customFormat="1">
      <c r="A19" s="747">
        <v>5</v>
      </c>
      <c r="B19" s="583"/>
      <c r="C19" s="317" t="s">
        <v>871</v>
      </c>
      <c r="D19" s="270"/>
      <c r="E19" s="270" t="s">
        <v>118</v>
      </c>
      <c r="F19" s="318">
        <v>1</v>
      </c>
      <c r="G19" s="270"/>
      <c r="H19" s="266"/>
      <c r="I19" s="222"/>
      <c r="J19" s="316">
        <v>89.03</v>
      </c>
      <c r="K19" s="316"/>
      <c r="L19" s="102">
        <f t="shared" si="6"/>
        <v>89.03</v>
      </c>
      <c r="M19" s="50">
        <f t="shared" si="11"/>
        <v>0</v>
      </c>
      <c r="N19" s="102">
        <f t="shared" si="7"/>
        <v>0</v>
      </c>
      <c r="O19" s="102">
        <f t="shared" si="8"/>
        <v>89.03</v>
      </c>
      <c r="P19" s="102">
        <f t="shared" si="9"/>
        <v>0</v>
      </c>
      <c r="Q19" s="103">
        <f t="shared" si="10"/>
        <v>89.03</v>
      </c>
    </row>
    <row r="20" spans="1:17" s="56" customFormat="1">
      <c r="A20" s="748">
        <v>6</v>
      </c>
      <c r="B20" s="583"/>
      <c r="C20" s="263" t="s">
        <v>872</v>
      </c>
      <c r="D20" s="270"/>
      <c r="E20" s="270" t="s">
        <v>118</v>
      </c>
      <c r="F20" s="318">
        <v>3</v>
      </c>
      <c r="G20" s="264"/>
      <c r="H20" s="266"/>
      <c r="I20" s="222"/>
      <c r="J20" s="316">
        <v>66.260000000000005</v>
      </c>
      <c r="K20" s="316"/>
      <c r="L20" s="102">
        <f t="shared" si="6"/>
        <v>66.260000000000005</v>
      </c>
      <c r="M20" s="50">
        <f t="shared" si="11"/>
        <v>0</v>
      </c>
      <c r="N20" s="102">
        <f t="shared" si="7"/>
        <v>0</v>
      </c>
      <c r="O20" s="102">
        <f t="shared" si="8"/>
        <v>198.78</v>
      </c>
      <c r="P20" s="102">
        <f t="shared" si="9"/>
        <v>0</v>
      </c>
      <c r="Q20" s="103">
        <f t="shared" si="10"/>
        <v>198.78</v>
      </c>
    </row>
    <row r="21" spans="1:17" s="56" customFormat="1" ht="24.9">
      <c r="A21" s="748">
        <v>7</v>
      </c>
      <c r="B21" s="583"/>
      <c r="C21" s="263" t="s">
        <v>873</v>
      </c>
      <c r="D21" s="270"/>
      <c r="E21" s="270" t="s">
        <v>118</v>
      </c>
      <c r="F21" s="318">
        <v>12</v>
      </c>
      <c r="G21" s="275"/>
      <c r="H21" s="275"/>
      <c r="I21" s="316"/>
      <c r="J21" s="316">
        <v>51.62</v>
      </c>
      <c r="K21" s="316"/>
      <c r="L21" s="102">
        <f t="shared" si="6"/>
        <v>51.62</v>
      </c>
      <c r="M21" s="50">
        <f t="shared" si="11"/>
        <v>0</v>
      </c>
      <c r="N21" s="102">
        <f t="shared" si="7"/>
        <v>0</v>
      </c>
      <c r="O21" s="102">
        <f t="shared" si="8"/>
        <v>619.44000000000005</v>
      </c>
      <c r="P21" s="102">
        <f t="shared" si="9"/>
        <v>0</v>
      </c>
      <c r="Q21" s="103">
        <f t="shared" si="10"/>
        <v>619.44000000000005</v>
      </c>
    </row>
    <row r="22" spans="1:17" s="56" customFormat="1" ht="24.9">
      <c r="A22" s="748">
        <v>8</v>
      </c>
      <c r="B22" s="583"/>
      <c r="C22" s="317" t="s">
        <v>874</v>
      </c>
      <c r="D22" s="270"/>
      <c r="E22" s="270" t="s">
        <v>118</v>
      </c>
      <c r="F22" s="318">
        <v>1</v>
      </c>
      <c r="G22" s="275"/>
      <c r="H22" s="275"/>
      <c r="I22" s="316"/>
      <c r="J22" s="316">
        <v>30.97</v>
      </c>
      <c r="K22" s="316"/>
      <c r="L22" s="102">
        <f t="shared" si="6"/>
        <v>30.97</v>
      </c>
      <c r="M22" s="50">
        <f t="shared" si="11"/>
        <v>0</v>
      </c>
      <c r="N22" s="102">
        <f t="shared" si="7"/>
        <v>0</v>
      </c>
      <c r="O22" s="102">
        <f t="shared" si="8"/>
        <v>30.97</v>
      </c>
      <c r="P22" s="102">
        <f t="shared" si="9"/>
        <v>0</v>
      </c>
      <c r="Q22" s="103">
        <f t="shared" si="10"/>
        <v>30.97</v>
      </c>
    </row>
    <row r="23" spans="1:17" s="56" customFormat="1">
      <c r="A23" s="748">
        <v>9</v>
      </c>
      <c r="B23" s="583"/>
      <c r="C23" s="317" t="s">
        <v>875</v>
      </c>
      <c r="D23" s="270" t="s">
        <v>869</v>
      </c>
      <c r="E23" s="270" t="s">
        <v>118</v>
      </c>
      <c r="F23" s="318">
        <v>2</v>
      </c>
      <c r="G23" s="272"/>
      <c r="H23" s="266"/>
      <c r="I23" s="222"/>
      <c r="J23" s="316">
        <v>39.659999999999997</v>
      </c>
      <c r="K23" s="316"/>
      <c r="L23" s="102">
        <f t="shared" si="6"/>
        <v>39.659999999999997</v>
      </c>
      <c r="M23" s="50">
        <f t="shared" si="11"/>
        <v>0</v>
      </c>
      <c r="N23" s="102">
        <f t="shared" si="7"/>
        <v>0</v>
      </c>
      <c r="O23" s="102">
        <f t="shared" si="8"/>
        <v>79.319999999999993</v>
      </c>
      <c r="P23" s="102">
        <f t="shared" si="9"/>
        <v>0</v>
      </c>
      <c r="Q23" s="103">
        <f t="shared" si="10"/>
        <v>79.319999999999993</v>
      </c>
    </row>
    <row r="24" spans="1:17" s="56" customFormat="1">
      <c r="A24" s="748">
        <v>10</v>
      </c>
      <c r="B24" s="583"/>
      <c r="C24" s="263" t="s">
        <v>876</v>
      </c>
      <c r="D24" s="270"/>
      <c r="E24" s="270" t="s">
        <v>118</v>
      </c>
      <c r="F24" s="319">
        <v>4</v>
      </c>
      <c r="G24" s="264"/>
      <c r="H24" s="266"/>
      <c r="I24" s="222"/>
      <c r="J24" s="316">
        <v>11.38</v>
      </c>
      <c r="K24" s="316"/>
      <c r="L24" s="102">
        <f t="shared" si="6"/>
        <v>11.38</v>
      </c>
      <c r="M24" s="50">
        <f t="shared" si="11"/>
        <v>0</v>
      </c>
      <c r="N24" s="102">
        <f t="shared" si="7"/>
        <v>0</v>
      </c>
      <c r="O24" s="102">
        <f t="shared" si="8"/>
        <v>45.52</v>
      </c>
      <c r="P24" s="102">
        <f t="shared" si="9"/>
        <v>0</v>
      </c>
      <c r="Q24" s="103">
        <f t="shared" si="10"/>
        <v>45.52</v>
      </c>
    </row>
    <row r="25" spans="1:17" s="56" customFormat="1" ht="62.2">
      <c r="A25" s="748">
        <v>11</v>
      </c>
      <c r="B25" s="583"/>
      <c r="C25" s="317" t="s">
        <v>877</v>
      </c>
      <c r="D25" s="270" t="s">
        <v>878</v>
      </c>
      <c r="E25" s="270" t="s">
        <v>118</v>
      </c>
      <c r="F25" s="319">
        <v>2</v>
      </c>
      <c r="G25" s="272"/>
      <c r="H25" s="266"/>
      <c r="I25" s="222"/>
      <c r="J25" s="316">
        <v>439</v>
      </c>
      <c r="K25" s="316"/>
      <c r="L25" s="102">
        <f t="shared" si="6"/>
        <v>439</v>
      </c>
      <c r="M25" s="50">
        <f t="shared" si="11"/>
        <v>0</v>
      </c>
      <c r="N25" s="102">
        <f t="shared" si="7"/>
        <v>0</v>
      </c>
      <c r="O25" s="102">
        <f t="shared" si="8"/>
        <v>878</v>
      </c>
      <c r="P25" s="102">
        <f t="shared" si="9"/>
        <v>0</v>
      </c>
      <c r="Q25" s="103">
        <f t="shared" si="10"/>
        <v>878</v>
      </c>
    </row>
    <row r="26" spans="1:17" s="56" customFormat="1" ht="87.05">
      <c r="A26" s="748">
        <v>12</v>
      </c>
      <c r="B26" s="583"/>
      <c r="C26" s="263" t="s">
        <v>879</v>
      </c>
      <c r="D26" s="270" t="s">
        <v>869</v>
      </c>
      <c r="E26" s="270" t="s">
        <v>118</v>
      </c>
      <c r="F26" s="319">
        <v>2</v>
      </c>
      <c r="G26" s="264"/>
      <c r="H26" s="266"/>
      <c r="I26" s="222"/>
      <c r="J26" s="316">
        <v>596</v>
      </c>
      <c r="K26" s="316"/>
      <c r="L26" s="102">
        <f t="shared" si="6"/>
        <v>596</v>
      </c>
      <c r="M26" s="50">
        <f t="shared" si="11"/>
        <v>0</v>
      </c>
      <c r="N26" s="102">
        <f t="shared" si="7"/>
        <v>0</v>
      </c>
      <c r="O26" s="102">
        <f t="shared" si="8"/>
        <v>1192</v>
      </c>
      <c r="P26" s="102">
        <f t="shared" si="9"/>
        <v>0</v>
      </c>
      <c r="Q26" s="103">
        <f t="shared" si="10"/>
        <v>1192</v>
      </c>
    </row>
    <row r="27" spans="1:17" s="56" customFormat="1" ht="24.9">
      <c r="A27" s="748">
        <v>13</v>
      </c>
      <c r="B27" s="583"/>
      <c r="C27" s="317" t="s">
        <v>880</v>
      </c>
      <c r="D27" s="270"/>
      <c r="E27" s="276" t="s">
        <v>29</v>
      </c>
      <c r="F27" s="319">
        <v>12</v>
      </c>
      <c r="G27" s="275"/>
      <c r="H27" s="266"/>
      <c r="I27" s="222"/>
      <c r="J27" s="316">
        <v>6.2</v>
      </c>
      <c r="K27" s="316"/>
      <c r="L27" s="102">
        <f t="shared" si="6"/>
        <v>6.2</v>
      </c>
      <c r="M27" s="50">
        <f t="shared" si="11"/>
        <v>0</v>
      </c>
      <c r="N27" s="102">
        <f t="shared" si="7"/>
        <v>0</v>
      </c>
      <c r="O27" s="102">
        <f t="shared" si="8"/>
        <v>74.400000000000006</v>
      </c>
      <c r="P27" s="102">
        <f t="shared" si="9"/>
        <v>0</v>
      </c>
      <c r="Q27" s="103">
        <f t="shared" si="10"/>
        <v>74.400000000000006</v>
      </c>
    </row>
    <row r="28" spans="1:17" s="56" customFormat="1">
      <c r="A28" s="748">
        <v>14</v>
      </c>
      <c r="B28" s="583"/>
      <c r="C28" s="317" t="s">
        <v>881</v>
      </c>
      <c r="D28" s="270"/>
      <c r="E28" s="276" t="s">
        <v>136</v>
      </c>
      <c r="F28" s="319">
        <v>1</v>
      </c>
      <c r="G28" s="264"/>
      <c r="H28" s="266"/>
      <c r="I28" s="222"/>
      <c r="J28" s="316">
        <v>446</v>
      </c>
      <c r="K28" s="316"/>
      <c r="L28" s="102">
        <f t="shared" si="6"/>
        <v>446</v>
      </c>
      <c r="M28" s="50">
        <f t="shared" si="11"/>
        <v>0</v>
      </c>
      <c r="N28" s="102">
        <f t="shared" si="7"/>
        <v>0</v>
      </c>
      <c r="O28" s="102">
        <f t="shared" si="8"/>
        <v>446</v>
      </c>
      <c r="P28" s="102">
        <f t="shared" si="9"/>
        <v>0</v>
      </c>
      <c r="Q28" s="103">
        <f t="shared" si="10"/>
        <v>446</v>
      </c>
    </row>
    <row r="29" spans="1:17" s="56" customFormat="1">
      <c r="A29" s="748">
        <v>15</v>
      </c>
      <c r="B29" s="583"/>
      <c r="C29" s="317" t="s">
        <v>882</v>
      </c>
      <c r="D29" s="276" t="s">
        <v>883</v>
      </c>
      <c r="E29" s="276" t="s">
        <v>884</v>
      </c>
      <c r="F29" s="319">
        <v>25</v>
      </c>
      <c r="G29" s="275"/>
      <c r="H29" s="266"/>
      <c r="I29" s="222"/>
      <c r="J29" s="316">
        <v>6.6</v>
      </c>
      <c r="K29" s="316"/>
      <c r="L29" s="102">
        <f t="shared" si="6"/>
        <v>6.6</v>
      </c>
      <c r="M29" s="50">
        <f t="shared" si="11"/>
        <v>0</v>
      </c>
      <c r="N29" s="102">
        <f t="shared" si="7"/>
        <v>0</v>
      </c>
      <c r="O29" s="102">
        <f t="shared" si="8"/>
        <v>165</v>
      </c>
      <c r="P29" s="102">
        <f t="shared" si="9"/>
        <v>0</v>
      </c>
      <c r="Q29" s="103">
        <f t="shared" si="10"/>
        <v>165</v>
      </c>
    </row>
    <row r="30" spans="1:17" s="56" customFormat="1">
      <c r="A30" s="748">
        <v>16</v>
      </c>
      <c r="B30" s="583"/>
      <c r="C30" s="317" t="s">
        <v>885</v>
      </c>
      <c r="D30" s="276" t="s">
        <v>886</v>
      </c>
      <c r="E30" s="276" t="s">
        <v>884</v>
      </c>
      <c r="F30" s="319">
        <v>67</v>
      </c>
      <c r="G30" s="275"/>
      <c r="H30" s="266"/>
      <c r="I30" s="222"/>
      <c r="J30" s="316">
        <v>6.6</v>
      </c>
      <c r="K30" s="316"/>
      <c r="L30" s="102">
        <f t="shared" si="6"/>
        <v>6.6</v>
      </c>
      <c r="M30" s="50">
        <f t="shared" si="11"/>
        <v>0</v>
      </c>
      <c r="N30" s="102">
        <f t="shared" si="7"/>
        <v>0</v>
      </c>
      <c r="O30" s="102">
        <f t="shared" si="8"/>
        <v>442.2</v>
      </c>
      <c r="P30" s="102">
        <f t="shared" si="9"/>
        <v>0</v>
      </c>
      <c r="Q30" s="103">
        <f t="shared" si="10"/>
        <v>442.2</v>
      </c>
    </row>
    <row r="31" spans="1:17" s="56" customFormat="1" ht="24.9">
      <c r="A31" s="748">
        <v>17</v>
      </c>
      <c r="B31" s="583"/>
      <c r="C31" s="263" t="s">
        <v>887</v>
      </c>
      <c r="D31" s="270"/>
      <c r="E31" s="276" t="s">
        <v>884</v>
      </c>
      <c r="F31" s="307">
        <v>288</v>
      </c>
      <c r="G31" s="275"/>
      <c r="H31" s="275"/>
      <c r="I31" s="316"/>
      <c r="J31" s="316">
        <v>6.6</v>
      </c>
      <c r="K31" s="316"/>
      <c r="L31" s="102">
        <f t="shared" si="6"/>
        <v>6.6</v>
      </c>
      <c r="M31" s="50">
        <f t="shared" si="11"/>
        <v>0</v>
      </c>
      <c r="N31" s="102">
        <f t="shared" si="7"/>
        <v>0</v>
      </c>
      <c r="O31" s="102">
        <f t="shared" si="8"/>
        <v>1900.8</v>
      </c>
      <c r="P31" s="102">
        <f t="shared" si="9"/>
        <v>0</v>
      </c>
      <c r="Q31" s="103">
        <f t="shared" si="10"/>
        <v>1900.8</v>
      </c>
    </row>
    <row r="32" spans="1:17" s="56" customFormat="1">
      <c r="A32" s="746"/>
      <c r="B32" s="583"/>
      <c r="C32" s="321" t="s">
        <v>888</v>
      </c>
      <c r="D32" s="288"/>
      <c r="E32" s="287"/>
      <c r="F32" s="287"/>
      <c r="G32" s="275">
        <f>IFERROR(ROUND(I32/H32,2),0)</f>
        <v>0</v>
      </c>
      <c r="H32" s="275">
        <f>IF(I32&gt;0,5,0)</f>
        <v>0</v>
      </c>
      <c r="I32" s="316"/>
      <c r="J32" s="316"/>
      <c r="K32" s="316"/>
      <c r="L32" s="102">
        <f t="shared" si="6"/>
        <v>0</v>
      </c>
      <c r="M32" s="50">
        <f t="shared" si="11"/>
        <v>0</v>
      </c>
      <c r="N32" s="102">
        <f t="shared" si="7"/>
        <v>0</v>
      </c>
      <c r="O32" s="102">
        <f t="shared" si="8"/>
        <v>0</v>
      </c>
      <c r="P32" s="102">
        <f t="shared" si="9"/>
        <v>0</v>
      </c>
      <c r="Q32" s="103">
        <f t="shared" si="10"/>
        <v>0</v>
      </c>
    </row>
    <row r="33" spans="1:17" s="56" customFormat="1">
      <c r="A33" s="749">
        <v>18</v>
      </c>
      <c r="B33" s="583"/>
      <c r="C33" s="263" t="s">
        <v>889</v>
      </c>
      <c r="D33" s="270"/>
      <c r="E33" s="270" t="s">
        <v>111</v>
      </c>
      <c r="F33" s="270">
        <v>146</v>
      </c>
      <c r="G33" s="275">
        <v>0.3</v>
      </c>
      <c r="H33" s="266">
        <v>10</v>
      </c>
      <c r="I33" s="222">
        <f>ROUND(G33*H33,2)</f>
        <v>3</v>
      </c>
      <c r="J33" s="316"/>
      <c r="K33" s="222">
        <v>0.2</v>
      </c>
      <c r="L33" s="102">
        <f t="shared" si="6"/>
        <v>3.2</v>
      </c>
      <c r="M33" s="50">
        <f t="shared" si="11"/>
        <v>43.8</v>
      </c>
      <c r="N33" s="102">
        <f t="shared" si="7"/>
        <v>438</v>
      </c>
      <c r="O33" s="102">
        <f t="shared" si="8"/>
        <v>0</v>
      </c>
      <c r="P33" s="102">
        <f t="shared" si="9"/>
        <v>29.2</v>
      </c>
      <c r="Q33" s="103">
        <f t="shared" si="10"/>
        <v>467.2</v>
      </c>
    </row>
    <row r="34" spans="1:17" s="56" customFormat="1">
      <c r="A34" s="749">
        <v>19</v>
      </c>
      <c r="B34" s="583"/>
      <c r="C34" s="263" t="s">
        <v>890</v>
      </c>
      <c r="D34" s="276"/>
      <c r="E34" s="276" t="s">
        <v>111</v>
      </c>
      <c r="F34" s="276">
        <v>146</v>
      </c>
      <c r="G34" s="275">
        <v>1.6</v>
      </c>
      <c r="H34" s="266">
        <v>10</v>
      </c>
      <c r="I34" s="222">
        <f>ROUND(G34*H34,2)</f>
        <v>16</v>
      </c>
      <c r="J34" s="316"/>
      <c r="K34" s="316">
        <v>0.2</v>
      </c>
      <c r="L34" s="102">
        <f t="shared" si="6"/>
        <v>16.2</v>
      </c>
      <c r="M34" s="50">
        <f t="shared" si="11"/>
        <v>233.6</v>
      </c>
      <c r="N34" s="102">
        <f t="shared" si="7"/>
        <v>2336</v>
      </c>
      <c r="O34" s="102">
        <f t="shared" si="8"/>
        <v>0</v>
      </c>
      <c r="P34" s="102">
        <f t="shared" si="9"/>
        <v>29.2</v>
      </c>
      <c r="Q34" s="103">
        <f t="shared" si="10"/>
        <v>2365.1999999999998</v>
      </c>
    </row>
    <row r="35" spans="1:17" s="56" customFormat="1">
      <c r="A35" s="749">
        <v>20</v>
      </c>
      <c r="B35" s="583"/>
      <c r="C35" s="263" t="s">
        <v>891</v>
      </c>
      <c r="D35" s="270"/>
      <c r="E35" s="276" t="s">
        <v>892</v>
      </c>
      <c r="F35" s="276">
        <v>1</v>
      </c>
      <c r="G35" s="275">
        <v>7.1</v>
      </c>
      <c r="H35" s="266">
        <v>10</v>
      </c>
      <c r="I35" s="222">
        <f>ROUND(G35*H35,2)</f>
        <v>71</v>
      </c>
      <c r="J35" s="316"/>
      <c r="K35" s="316">
        <v>18</v>
      </c>
      <c r="L35" s="102">
        <f t="shared" si="6"/>
        <v>89</v>
      </c>
      <c r="M35" s="50">
        <f t="shared" si="11"/>
        <v>7.1</v>
      </c>
      <c r="N35" s="102">
        <f t="shared" si="7"/>
        <v>71</v>
      </c>
      <c r="O35" s="102">
        <f t="shared" si="8"/>
        <v>0</v>
      </c>
      <c r="P35" s="102">
        <f t="shared" si="9"/>
        <v>18</v>
      </c>
      <c r="Q35" s="103">
        <f t="shared" si="10"/>
        <v>89</v>
      </c>
    </row>
    <row r="36" spans="1:17" s="56" customFormat="1">
      <c r="A36" s="749">
        <v>21</v>
      </c>
      <c r="B36" s="583"/>
      <c r="C36" s="263" t="s">
        <v>893</v>
      </c>
      <c r="D36" s="270"/>
      <c r="E36" s="270" t="s">
        <v>884</v>
      </c>
      <c r="F36" s="270">
        <v>25</v>
      </c>
      <c r="G36" s="275">
        <v>0.69</v>
      </c>
      <c r="H36" s="266">
        <v>10</v>
      </c>
      <c r="I36" s="222">
        <f t="shared" ref="I36:I44" si="12">ROUND(G36*H36,2)</f>
        <v>6.9</v>
      </c>
      <c r="J36" s="316"/>
      <c r="K36" s="316">
        <v>0.65</v>
      </c>
      <c r="L36" s="102">
        <f t="shared" si="6"/>
        <v>7.5500000000000007</v>
      </c>
      <c r="M36" s="50">
        <f t="shared" si="11"/>
        <v>17.25</v>
      </c>
      <c r="N36" s="102">
        <f t="shared" si="7"/>
        <v>172.5</v>
      </c>
      <c r="O36" s="102">
        <f t="shared" si="8"/>
        <v>0</v>
      </c>
      <c r="P36" s="102">
        <f t="shared" si="9"/>
        <v>16.25</v>
      </c>
      <c r="Q36" s="103">
        <f t="shared" si="10"/>
        <v>188.75</v>
      </c>
    </row>
    <row r="37" spans="1:17" s="56" customFormat="1" ht="24.9">
      <c r="A37" s="749">
        <v>22</v>
      </c>
      <c r="B37" s="583"/>
      <c r="C37" s="317" t="s">
        <v>894</v>
      </c>
      <c r="D37" s="276"/>
      <c r="E37" s="276" t="s">
        <v>884</v>
      </c>
      <c r="F37" s="276">
        <v>67</v>
      </c>
      <c r="G37" s="275">
        <v>0.69</v>
      </c>
      <c r="H37" s="266">
        <v>10</v>
      </c>
      <c r="I37" s="222">
        <f t="shared" si="12"/>
        <v>6.9</v>
      </c>
      <c r="J37" s="316"/>
      <c r="K37" s="316">
        <v>0.65</v>
      </c>
      <c r="L37" s="102">
        <f t="shared" si="6"/>
        <v>7.5500000000000007</v>
      </c>
      <c r="M37" s="50">
        <f t="shared" si="11"/>
        <v>46.23</v>
      </c>
      <c r="N37" s="102">
        <f t="shared" si="7"/>
        <v>462.3</v>
      </c>
      <c r="O37" s="102">
        <f t="shared" si="8"/>
        <v>0</v>
      </c>
      <c r="P37" s="102">
        <f t="shared" si="9"/>
        <v>43.55</v>
      </c>
      <c r="Q37" s="103">
        <f t="shared" si="10"/>
        <v>505.85</v>
      </c>
    </row>
    <row r="38" spans="1:17" s="56" customFormat="1" ht="24.9">
      <c r="A38" s="749">
        <v>23</v>
      </c>
      <c r="B38" s="583"/>
      <c r="C38" s="317" t="s">
        <v>895</v>
      </c>
      <c r="D38" s="276"/>
      <c r="E38" s="276" t="s">
        <v>892</v>
      </c>
      <c r="F38" s="276">
        <v>5</v>
      </c>
      <c r="G38" s="275">
        <v>1.6</v>
      </c>
      <c r="H38" s="266">
        <v>10</v>
      </c>
      <c r="I38" s="222">
        <f t="shared" si="12"/>
        <v>16</v>
      </c>
      <c r="J38" s="316"/>
      <c r="K38" s="316">
        <v>0.2</v>
      </c>
      <c r="L38" s="102">
        <f t="shared" si="6"/>
        <v>16.2</v>
      </c>
      <c r="M38" s="50">
        <f t="shared" si="11"/>
        <v>8</v>
      </c>
      <c r="N38" s="102">
        <f t="shared" si="7"/>
        <v>80</v>
      </c>
      <c r="O38" s="102">
        <f t="shared" si="8"/>
        <v>0</v>
      </c>
      <c r="P38" s="102">
        <f t="shared" si="9"/>
        <v>1</v>
      </c>
      <c r="Q38" s="103">
        <f t="shared" si="10"/>
        <v>81</v>
      </c>
    </row>
    <row r="39" spans="1:17" s="56" customFormat="1" ht="24.9">
      <c r="A39" s="749">
        <v>24</v>
      </c>
      <c r="B39" s="583"/>
      <c r="C39" s="263" t="s">
        <v>896</v>
      </c>
      <c r="D39" s="270"/>
      <c r="E39" s="276" t="s">
        <v>136</v>
      </c>
      <c r="F39" s="270">
        <v>1</v>
      </c>
      <c r="G39" s="267">
        <v>3.1</v>
      </c>
      <c r="H39" s="266">
        <v>10</v>
      </c>
      <c r="I39" s="222">
        <f t="shared" si="12"/>
        <v>31</v>
      </c>
      <c r="J39" s="316"/>
      <c r="K39" s="316">
        <v>0.2</v>
      </c>
      <c r="L39" s="102">
        <f t="shared" si="6"/>
        <v>31.2</v>
      </c>
      <c r="M39" s="50">
        <f t="shared" si="11"/>
        <v>3.1</v>
      </c>
      <c r="N39" s="102">
        <f t="shared" si="7"/>
        <v>31</v>
      </c>
      <c r="O39" s="102">
        <f t="shared" si="8"/>
        <v>0</v>
      </c>
      <c r="P39" s="102">
        <f t="shared" si="9"/>
        <v>0.2</v>
      </c>
      <c r="Q39" s="103">
        <f t="shared" si="10"/>
        <v>31.2</v>
      </c>
    </row>
    <row r="40" spans="1:17" s="56" customFormat="1">
      <c r="A40" s="749">
        <v>25</v>
      </c>
      <c r="B40" s="583"/>
      <c r="C40" s="263" t="s">
        <v>897</v>
      </c>
      <c r="D40" s="270"/>
      <c r="E40" s="270" t="s">
        <v>884</v>
      </c>
      <c r="F40" s="270">
        <v>380</v>
      </c>
      <c r="G40" s="267">
        <v>0.18</v>
      </c>
      <c r="H40" s="266">
        <v>10</v>
      </c>
      <c r="I40" s="222">
        <f t="shared" si="12"/>
        <v>1.8</v>
      </c>
      <c r="J40" s="316"/>
      <c r="K40" s="316">
        <v>1.8</v>
      </c>
      <c r="L40" s="102">
        <f t="shared" si="6"/>
        <v>3.6</v>
      </c>
      <c r="M40" s="50">
        <f t="shared" si="11"/>
        <v>68.400000000000006</v>
      </c>
      <c r="N40" s="102">
        <f t="shared" si="7"/>
        <v>684</v>
      </c>
      <c r="O40" s="102">
        <f t="shared" si="8"/>
        <v>0</v>
      </c>
      <c r="P40" s="102">
        <f t="shared" si="9"/>
        <v>684</v>
      </c>
      <c r="Q40" s="103">
        <f t="shared" si="10"/>
        <v>1368</v>
      </c>
    </row>
    <row r="41" spans="1:17" s="56" customFormat="1" ht="37.35">
      <c r="A41" s="749">
        <v>26</v>
      </c>
      <c r="B41" s="583"/>
      <c r="C41" s="317" t="s">
        <v>898</v>
      </c>
      <c r="D41" s="270"/>
      <c r="E41" s="270" t="s">
        <v>884</v>
      </c>
      <c r="F41" s="270">
        <v>288</v>
      </c>
      <c r="G41" s="267">
        <v>0.3</v>
      </c>
      <c r="H41" s="266">
        <v>10</v>
      </c>
      <c r="I41" s="222">
        <f t="shared" si="12"/>
        <v>3</v>
      </c>
      <c r="J41" s="316"/>
      <c r="K41" s="316">
        <v>0.4</v>
      </c>
      <c r="L41" s="102">
        <f t="shared" si="6"/>
        <v>3.4</v>
      </c>
      <c r="M41" s="50">
        <f t="shared" si="11"/>
        <v>86.4</v>
      </c>
      <c r="N41" s="102">
        <f t="shared" si="7"/>
        <v>864</v>
      </c>
      <c r="O41" s="102">
        <f t="shared" si="8"/>
        <v>0</v>
      </c>
      <c r="P41" s="102">
        <f t="shared" si="9"/>
        <v>115.2</v>
      </c>
      <c r="Q41" s="103">
        <f t="shared" si="10"/>
        <v>979.2</v>
      </c>
    </row>
    <row r="42" spans="1:17" s="56" customFormat="1" ht="24.9">
      <c r="A42" s="749">
        <v>27</v>
      </c>
      <c r="B42" s="583"/>
      <c r="C42" s="317" t="s">
        <v>899</v>
      </c>
      <c r="D42" s="270"/>
      <c r="E42" s="270" t="s">
        <v>884</v>
      </c>
      <c r="F42" s="270">
        <v>380</v>
      </c>
      <c r="G42" s="267">
        <v>0.2</v>
      </c>
      <c r="H42" s="266">
        <v>10</v>
      </c>
      <c r="I42" s="222">
        <f t="shared" si="12"/>
        <v>2</v>
      </c>
      <c r="J42" s="316"/>
      <c r="K42" s="316">
        <v>5.5</v>
      </c>
      <c r="L42" s="102">
        <f t="shared" si="6"/>
        <v>7.5</v>
      </c>
      <c r="M42" s="50">
        <f t="shared" si="11"/>
        <v>76</v>
      </c>
      <c r="N42" s="102">
        <f t="shared" si="7"/>
        <v>760</v>
      </c>
      <c r="O42" s="102">
        <f t="shared" si="8"/>
        <v>0</v>
      </c>
      <c r="P42" s="102">
        <f t="shared" si="9"/>
        <v>2090</v>
      </c>
      <c r="Q42" s="103">
        <f t="shared" si="10"/>
        <v>2850</v>
      </c>
    </row>
    <row r="43" spans="1:17" s="56" customFormat="1">
      <c r="A43" s="749">
        <v>28</v>
      </c>
      <c r="B43" s="583"/>
      <c r="C43" s="317" t="s">
        <v>132</v>
      </c>
      <c r="D43" s="270"/>
      <c r="E43" s="270" t="s">
        <v>111</v>
      </c>
      <c r="F43" s="270">
        <v>146</v>
      </c>
      <c r="G43" s="275">
        <v>0.14000000000000001</v>
      </c>
      <c r="H43" s="266">
        <v>10</v>
      </c>
      <c r="I43" s="222">
        <f t="shared" si="12"/>
        <v>1.4</v>
      </c>
      <c r="J43" s="316"/>
      <c r="K43" s="316">
        <v>0.2</v>
      </c>
      <c r="L43" s="102">
        <f t="shared" si="6"/>
        <v>1.5999999999999999</v>
      </c>
      <c r="M43" s="50">
        <f t="shared" si="11"/>
        <v>20.440000000000001</v>
      </c>
      <c r="N43" s="102">
        <f t="shared" si="7"/>
        <v>204.4</v>
      </c>
      <c r="O43" s="102">
        <f t="shared" si="8"/>
        <v>0</v>
      </c>
      <c r="P43" s="102">
        <f t="shared" si="9"/>
        <v>29.2</v>
      </c>
      <c r="Q43" s="103">
        <f t="shared" si="10"/>
        <v>233.6</v>
      </c>
    </row>
    <row r="44" spans="1:17" s="56" customFormat="1">
      <c r="A44" s="749">
        <v>29</v>
      </c>
      <c r="B44" s="583"/>
      <c r="C44" s="317" t="s">
        <v>900</v>
      </c>
      <c r="D44" s="270"/>
      <c r="E44" s="270" t="s">
        <v>111</v>
      </c>
      <c r="F44" s="270">
        <v>146</v>
      </c>
      <c r="G44" s="275">
        <v>0.45</v>
      </c>
      <c r="H44" s="266">
        <v>10</v>
      </c>
      <c r="I44" s="222">
        <f t="shared" si="12"/>
        <v>4.5</v>
      </c>
      <c r="J44" s="316"/>
      <c r="K44" s="316">
        <v>0.08</v>
      </c>
      <c r="L44" s="102">
        <f t="shared" si="6"/>
        <v>4.58</v>
      </c>
      <c r="M44" s="50">
        <f t="shared" si="11"/>
        <v>65.7</v>
      </c>
      <c r="N44" s="102">
        <f t="shared" si="7"/>
        <v>657</v>
      </c>
      <c r="O44" s="102">
        <f t="shared" si="8"/>
        <v>0</v>
      </c>
      <c r="P44" s="102">
        <f t="shared" si="9"/>
        <v>11.68</v>
      </c>
      <c r="Q44" s="103">
        <f t="shared" si="10"/>
        <v>668.68</v>
      </c>
    </row>
    <row r="45" spans="1:17" s="56" customFormat="1" ht="24.9">
      <c r="A45" s="749">
        <v>30</v>
      </c>
      <c r="B45" s="583"/>
      <c r="C45" s="317" t="s">
        <v>901</v>
      </c>
      <c r="D45" s="276"/>
      <c r="E45" s="270" t="s">
        <v>111</v>
      </c>
      <c r="F45" s="270">
        <v>146</v>
      </c>
      <c r="G45" s="275">
        <v>0.45</v>
      </c>
      <c r="H45" s="266">
        <v>10</v>
      </c>
      <c r="I45" s="222">
        <f>ROUND(G45*H45,2)</f>
        <v>4.5</v>
      </c>
      <c r="J45" s="316"/>
      <c r="K45" s="316">
        <v>0.08</v>
      </c>
      <c r="L45" s="102">
        <f t="shared" si="6"/>
        <v>4.58</v>
      </c>
      <c r="M45" s="50">
        <f t="shared" si="11"/>
        <v>65.7</v>
      </c>
      <c r="N45" s="102">
        <f t="shared" si="7"/>
        <v>657</v>
      </c>
      <c r="O45" s="102">
        <f t="shared" si="8"/>
        <v>0</v>
      </c>
      <c r="P45" s="102">
        <f t="shared" si="9"/>
        <v>11.68</v>
      </c>
      <c r="Q45" s="103">
        <f t="shared" si="10"/>
        <v>668.68</v>
      </c>
    </row>
    <row r="46" spans="1:17" s="56" customFormat="1">
      <c r="A46" s="749">
        <v>31</v>
      </c>
      <c r="B46" s="583"/>
      <c r="C46" s="317" t="s">
        <v>902</v>
      </c>
      <c r="D46" s="276"/>
      <c r="E46" s="276" t="s">
        <v>136</v>
      </c>
      <c r="F46" s="270">
        <v>1</v>
      </c>
      <c r="G46" s="275">
        <f>IFERROR(ROUND(I46/H46,2),0)</f>
        <v>0</v>
      </c>
      <c r="H46" s="275">
        <f>IF(I46&gt;0,5,0)</f>
        <v>0</v>
      </c>
      <c r="I46" s="316"/>
      <c r="J46" s="316"/>
      <c r="K46" s="316">
        <v>90</v>
      </c>
      <c r="L46" s="102">
        <f t="shared" si="6"/>
        <v>90</v>
      </c>
      <c r="M46" s="50">
        <f t="shared" si="11"/>
        <v>0</v>
      </c>
      <c r="N46" s="102">
        <f t="shared" si="7"/>
        <v>0</v>
      </c>
      <c r="O46" s="102">
        <f t="shared" si="8"/>
        <v>0</v>
      </c>
      <c r="P46" s="102">
        <f t="shared" si="9"/>
        <v>90</v>
      </c>
      <c r="Q46" s="103">
        <f t="shared" si="10"/>
        <v>90</v>
      </c>
    </row>
    <row r="47" spans="1:17" s="56" customFormat="1">
      <c r="A47" s="749">
        <v>32</v>
      </c>
      <c r="B47" s="583"/>
      <c r="C47" s="317" t="s">
        <v>903</v>
      </c>
      <c r="D47" s="276"/>
      <c r="E47" s="276" t="s">
        <v>136</v>
      </c>
      <c r="F47" s="270">
        <v>1</v>
      </c>
      <c r="G47" s="275">
        <f>IFERROR(ROUND(I47/H47,2),0)</f>
        <v>0</v>
      </c>
      <c r="H47" s="275">
        <f>IF(I47&gt;0,5,0)</f>
        <v>0</v>
      </c>
      <c r="I47" s="316"/>
      <c r="J47" s="316"/>
      <c r="K47" s="316">
        <v>100</v>
      </c>
      <c r="L47" s="102">
        <f t="shared" si="6"/>
        <v>100</v>
      </c>
      <c r="M47" s="50">
        <f t="shared" si="11"/>
        <v>0</v>
      </c>
      <c r="N47" s="102">
        <f t="shared" si="7"/>
        <v>0</v>
      </c>
      <c r="O47" s="102">
        <f t="shared" si="8"/>
        <v>0</v>
      </c>
      <c r="P47" s="102">
        <f t="shared" si="9"/>
        <v>100</v>
      </c>
      <c r="Q47" s="103">
        <f t="shared" si="10"/>
        <v>100</v>
      </c>
    </row>
    <row r="48" spans="1:17" s="56" customFormat="1" ht="24.9">
      <c r="A48" s="749">
        <v>33</v>
      </c>
      <c r="B48" s="583"/>
      <c r="C48" s="263" t="s">
        <v>904</v>
      </c>
      <c r="D48" s="270"/>
      <c r="E48" s="276" t="s">
        <v>111</v>
      </c>
      <c r="F48" s="319">
        <v>146</v>
      </c>
      <c r="G48" s="275">
        <f>IFERROR(ROUND(I48/H48,2),0)</f>
        <v>0</v>
      </c>
      <c r="H48" s="275">
        <f>IF(I48&gt;0,5,0)</f>
        <v>0</v>
      </c>
      <c r="I48" s="316"/>
      <c r="J48" s="316"/>
      <c r="K48" s="316">
        <v>8.4</v>
      </c>
      <c r="L48" s="102">
        <f t="shared" si="6"/>
        <v>8.4</v>
      </c>
      <c r="M48" s="50">
        <f t="shared" si="11"/>
        <v>0</v>
      </c>
      <c r="N48" s="102">
        <f t="shared" si="7"/>
        <v>0</v>
      </c>
      <c r="O48" s="102">
        <f t="shared" si="8"/>
        <v>0</v>
      </c>
      <c r="P48" s="102">
        <f t="shared" si="9"/>
        <v>1226.4000000000001</v>
      </c>
      <c r="Q48" s="103">
        <f t="shared" si="10"/>
        <v>1226.4000000000001</v>
      </c>
    </row>
    <row r="49" spans="1:17">
      <c r="A49" s="329"/>
      <c r="B49" s="330"/>
      <c r="C49" s="331"/>
      <c r="D49" s="331"/>
      <c r="E49" s="332"/>
      <c r="F49" s="333"/>
      <c r="G49" s="334">
        <v>0</v>
      </c>
      <c r="H49" s="334">
        <v>0</v>
      </c>
      <c r="I49" s="334"/>
      <c r="J49" s="333"/>
      <c r="K49" s="333"/>
      <c r="L49" s="333"/>
      <c r="M49" s="333"/>
      <c r="N49" s="333"/>
      <c r="O49" s="333"/>
      <c r="P49" s="333"/>
      <c r="Q49" s="335"/>
    </row>
    <row r="50" spans="1:17" ht="15.05" customHeight="1">
      <c r="A50" s="206"/>
      <c r="B50" s="207"/>
      <c r="C50" s="951" t="s">
        <v>99</v>
      </c>
      <c r="D50" s="951"/>
      <c r="E50" s="952"/>
      <c r="F50" s="952"/>
      <c r="G50" s="952"/>
      <c r="H50" s="952"/>
      <c r="I50" s="952"/>
      <c r="J50" s="952"/>
      <c r="K50" s="952"/>
      <c r="L50" s="952"/>
      <c r="M50" s="208">
        <f>SUM(M13:M49)</f>
        <v>741.72000000000014</v>
      </c>
      <c r="N50" s="208">
        <f>SUM(N13:N49)</f>
        <v>7417.2</v>
      </c>
      <c r="O50" s="208">
        <f>SUM(O13:O49)</f>
        <v>8647.01</v>
      </c>
      <c r="P50" s="208">
        <f>SUM(P13:P49)</f>
        <v>4495.5599999999995</v>
      </c>
      <c r="Q50" s="208">
        <f>SUM(Q13:Q49)</f>
        <v>20559.770000000004</v>
      </c>
    </row>
    <row r="51" spans="1:17" s="125" customFormat="1">
      <c r="J51" s="146"/>
    </row>
    <row r="52" spans="1:17" s="122" customFormat="1" ht="12.8" customHeight="1">
      <c r="B52" s="147" t="s">
        <v>54</v>
      </c>
    </row>
    <row r="53" spans="1:17" s="122" customFormat="1" ht="45" customHeight="1">
      <c r="A53" s="926" t="str">
        <f>'2,1'!A117:H117</f>
        <v xml:space="preserve"> Būvuzņēmējam jādod pilna apjoma tendera cenu piedāvājums, ieskaitot palīgdarbus  un materiālus, kas nav uzrādīti tāmē, apjomu sarakstā un projektā, bet ir nepieciešami projektētā būvobjekta izbūvei un nodošanai ekspluatācijā.</v>
      </c>
      <c r="B53" s="926"/>
      <c r="C53" s="926"/>
      <c r="D53" s="926"/>
      <c r="E53" s="926"/>
      <c r="F53" s="926"/>
      <c r="G53" s="926"/>
      <c r="H53" s="926"/>
      <c r="I53" s="926"/>
      <c r="J53" s="926"/>
      <c r="K53" s="926"/>
      <c r="L53" s="926"/>
      <c r="M53" s="926"/>
      <c r="N53" s="926"/>
      <c r="O53" s="926"/>
      <c r="P53" s="926"/>
      <c r="Q53" s="926"/>
    </row>
    <row r="54" spans="1:17" s="122" customFormat="1" ht="68.25" customHeight="1">
      <c r="A54" s="925">
        <f>'2,1'!$A$118</f>
        <v>0</v>
      </c>
      <c r="B54" s="925"/>
      <c r="C54" s="925"/>
      <c r="D54" s="925"/>
      <c r="E54" s="925"/>
      <c r="F54" s="925"/>
      <c r="G54" s="925"/>
      <c r="H54" s="925"/>
      <c r="I54" s="925"/>
      <c r="J54" s="925"/>
      <c r="K54" s="925"/>
      <c r="L54" s="925"/>
      <c r="M54" s="925"/>
      <c r="N54" s="925"/>
      <c r="O54" s="925"/>
      <c r="P54" s="925"/>
      <c r="Q54" s="925"/>
    </row>
    <row r="55" spans="1:17" s="122" customFormat="1" ht="12.8" customHeight="1">
      <c r="B55" s="148"/>
    </row>
    <row r="56" spans="1:17" s="122" customFormat="1" ht="12.8" customHeight="1">
      <c r="B56" s="148"/>
    </row>
    <row r="57" spans="1:17" s="125" customFormat="1">
      <c r="B57" s="125" t="s">
        <v>8</v>
      </c>
      <c r="M57" s="157" t="str">
        <f>Koptame!B39</f>
        <v>Pārbaudīja:</v>
      </c>
      <c r="N57" s="157"/>
      <c r="O57" s="157"/>
      <c r="P57" s="157"/>
      <c r="Q57" s="157"/>
    </row>
    <row r="58" spans="1:17" s="125" customFormat="1">
      <c r="C58" s="164" t="str">
        <f>Koptame!C34</f>
        <v>Arnis Gailītis</v>
      </c>
      <c r="D58" s="191"/>
      <c r="M58" s="164"/>
      <c r="N58" s="922" t="str">
        <f>Koptame!C40</f>
        <v>Dzintra Cīrule</v>
      </c>
      <c r="O58" s="922"/>
      <c r="P58" s="157"/>
      <c r="Q58" s="157"/>
    </row>
    <row r="59" spans="1:17" s="125" customFormat="1">
      <c r="C59" s="165" t="str">
        <f>Koptame!C35</f>
        <v>Sertifikāta Nr.20-5643</v>
      </c>
      <c r="D59" s="192"/>
      <c r="M59" s="165"/>
      <c r="N59" s="923" t="str">
        <f>Koptame!C41</f>
        <v>Sertifikāta Nr.10-0363</v>
      </c>
      <c r="O59" s="923"/>
      <c r="P59" s="157"/>
      <c r="Q59" s="157"/>
    </row>
    <row r="60" spans="1:17" s="125" customFormat="1" collapsed="1">
      <c r="B60" s="146"/>
      <c r="G60" s="146"/>
      <c r="H60" s="146"/>
    </row>
  </sheetData>
  <mergeCells count="18">
    <mergeCell ref="G11:L11"/>
    <mergeCell ref="M11:Q11"/>
    <mergeCell ref="C50:L50"/>
    <mergeCell ref="N59:O59"/>
    <mergeCell ref="N58:O58"/>
    <mergeCell ref="A54:Q54"/>
    <mergeCell ref="A53:Q53"/>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8"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4"/>
  <sheetViews>
    <sheetView showZeros="0" view="pageBreakPreview" topLeftCell="A10" zoomScale="80" zoomScaleNormal="80" zoomScaleSheetLayoutView="80" workbookViewId="0">
      <selection activeCell="A15" sqref="A15:E22"/>
    </sheetView>
  </sheetViews>
  <sheetFormatPr defaultColWidth="9.125" defaultRowHeight="14.4"/>
  <cols>
    <col min="1" max="1" width="9" style="19" customWidth="1"/>
    <col min="2" max="2" width="9.375" style="56" customWidth="1"/>
    <col min="3" max="3" width="40.25" style="19" customWidth="1"/>
    <col min="4" max="4" width="8.125" style="19" customWidth="1"/>
    <col min="5" max="5" width="9.125" style="19"/>
    <col min="6" max="7" width="9.125" style="56"/>
    <col min="8" max="11" width="9.125" style="19"/>
    <col min="12" max="12" width="14.375" style="19" customWidth="1"/>
    <col min="13" max="13" width="12.25" style="19" customWidth="1"/>
    <col min="14" max="14" width="12.75" style="19" customWidth="1"/>
    <col min="15" max="15" width="15.875" style="19" customWidth="1"/>
    <col min="16" max="16" width="12.875" style="19" customWidth="1"/>
    <col min="17" max="16384" width="9.125" style="19"/>
  </cols>
  <sheetData>
    <row r="1" spans="1:16" s="24" customFormat="1">
      <c r="B1" s="53"/>
      <c r="E1" s="21"/>
      <c r="F1" s="118"/>
      <c r="G1" s="180" t="s">
        <v>92</v>
      </c>
      <c r="H1" s="121" t="str">
        <f>kops1!B21</f>
        <v>1,1</v>
      </c>
    </row>
    <row r="2" spans="1:16" s="24" customFormat="1">
      <c r="A2" s="919" t="str">
        <f>C13</f>
        <v>Zemes darbi</v>
      </c>
      <c r="B2" s="919"/>
      <c r="C2" s="919"/>
      <c r="D2" s="919"/>
      <c r="E2" s="919"/>
      <c r="F2" s="919"/>
      <c r="G2" s="919"/>
      <c r="H2" s="919"/>
      <c r="I2" s="919"/>
      <c r="J2" s="919"/>
      <c r="K2" s="919"/>
      <c r="L2" s="919"/>
      <c r="M2" s="919"/>
      <c r="N2" s="919"/>
      <c r="O2" s="919"/>
      <c r="P2" s="919"/>
    </row>
    <row r="3" spans="1:16">
      <c r="A3" s="20"/>
      <c r="B3" s="112"/>
      <c r="C3" s="20" t="s">
        <v>11</v>
      </c>
      <c r="D3" s="921" t="str">
        <f>Koptame!C11</f>
        <v>Ražošanas ēka</v>
      </c>
      <c r="E3" s="921"/>
      <c r="F3" s="921"/>
      <c r="G3" s="921"/>
      <c r="H3" s="921"/>
      <c r="I3" s="921"/>
      <c r="J3" s="921"/>
      <c r="K3" s="921"/>
      <c r="L3" s="921"/>
      <c r="M3" s="921"/>
      <c r="N3" s="921"/>
      <c r="O3" s="921"/>
      <c r="P3" s="921"/>
    </row>
    <row r="4" spans="1:16">
      <c r="A4" s="20"/>
      <c r="B4" s="112"/>
      <c r="C4" s="20" t="s">
        <v>12</v>
      </c>
      <c r="D4" s="921" t="str">
        <f>Koptame!C12</f>
        <v>Ražošanas ēkas Nr.7 jaunbūve</v>
      </c>
      <c r="E4" s="921"/>
      <c r="F4" s="921"/>
      <c r="G4" s="921"/>
      <c r="H4" s="921"/>
      <c r="I4" s="921"/>
      <c r="J4" s="921"/>
      <c r="K4" s="921"/>
      <c r="L4" s="921"/>
      <c r="M4" s="921"/>
      <c r="N4" s="921"/>
      <c r="O4" s="921"/>
      <c r="P4" s="921"/>
    </row>
    <row r="5" spans="1:16">
      <c r="A5" s="20"/>
      <c r="B5" s="112"/>
      <c r="C5" s="20" t="s">
        <v>13</v>
      </c>
      <c r="D5" s="921" t="str">
        <f>Koptame!C13</f>
        <v>Ventspils, Ventspils Augsto tehnoloģiju parks</v>
      </c>
      <c r="E5" s="921"/>
      <c r="F5" s="921"/>
      <c r="G5" s="921"/>
      <c r="H5" s="921"/>
      <c r="I5" s="921"/>
      <c r="J5" s="921"/>
      <c r="K5" s="921"/>
      <c r="L5" s="921"/>
      <c r="M5" s="921"/>
      <c r="N5" s="921"/>
      <c r="O5" s="921"/>
      <c r="P5" s="921"/>
    </row>
    <row r="6" spans="1:16">
      <c r="A6" s="20"/>
      <c r="B6" s="112"/>
      <c r="C6" s="20" t="str">
        <f>Koptame!B14</f>
        <v>Pasūtījuma Nr.</v>
      </c>
      <c r="D6" s="22" t="str">
        <f>Koptame!C14</f>
        <v>2016-04</v>
      </c>
      <c r="E6" s="43"/>
      <c r="F6" s="54"/>
      <c r="G6" s="54"/>
      <c r="H6" s="43"/>
      <c r="I6" s="43"/>
      <c r="J6" s="43"/>
      <c r="K6" s="43"/>
      <c r="L6" s="43"/>
      <c r="M6" s="43"/>
      <c r="N6" s="43"/>
      <c r="O6" s="43"/>
      <c r="P6" s="25"/>
    </row>
    <row r="7" spans="1:16">
      <c r="A7" s="3" t="str">
        <f>Koptame!B17</f>
        <v>Tāme sastādīta 2018.gada tirgus cenās, pamatojoties uz SIA „Baltex Group” būvprojekta rasējumiem un darbu apjomiem</v>
      </c>
      <c r="B7" s="113"/>
      <c r="D7" s="22"/>
      <c r="E7" s="22"/>
      <c r="F7" s="55"/>
      <c r="G7" s="55"/>
      <c r="H7" s="22"/>
      <c r="I7" s="22"/>
      <c r="J7" s="22"/>
      <c r="K7" s="43"/>
      <c r="L7" s="43"/>
      <c r="M7" s="43"/>
      <c r="N7" s="43"/>
      <c r="O7" s="20" t="s">
        <v>87</v>
      </c>
      <c r="P7" s="26">
        <f>P24</f>
        <v>122100.48000000001</v>
      </c>
    </row>
    <row r="8" spans="1:16">
      <c r="A8" s="23"/>
      <c r="B8" s="112"/>
      <c r="D8" s="27"/>
      <c r="E8" s="43"/>
      <c r="F8" s="54"/>
      <c r="G8" s="54"/>
      <c r="H8" s="43"/>
      <c r="I8" s="43"/>
      <c r="J8" s="43"/>
      <c r="K8" s="43"/>
      <c r="N8" s="43"/>
      <c r="O8" s="43"/>
      <c r="P8" s="25"/>
    </row>
    <row r="9" spans="1:16" ht="15.05" customHeight="1">
      <c r="A9" s="45"/>
      <c r="B9" s="114"/>
      <c r="J9" s="44"/>
      <c r="K9" s="44"/>
      <c r="L9" s="920" t="str">
        <f>Koptame!D16</f>
        <v>Tāme sastādīta:  2018.gada 19. februāris</v>
      </c>
      <c r="M9" s="920"/>
      <c r="N9" s="920"/>
      <c r="O9" s="920"/>
      <c r="P9" s="44"/>
    </row>
    <row r="10" spans="1:16" ht="15.05">
      <c r="A10" s="45"/>
      <c r="B10" s="114"/>
    </row>
    <row r="11" spans="1:16" ht="14.25" customHeight="1">
      <c r="A11" s="927" t="s">
        <v>15</v>
      </c>
      <c r="B11" s="928" t="s">
        <v>21</v>
      </c>
      <c r="C11" s="930" t="s">
        <v>97</v>
      </c>
      <c r="D11" s="931" t="s">
        <v>22</v>
      </c>
      <c r="E11" s="927" t="s">
        <v>23</v>
      </c>
      <c r="F11" s="924" t="s">
        <v>24</v>
      </c>
      <c r="G11" s="924"/>
      <c r="H11" s="924"/>
      <c r="I11" s="924"/>
      <c r="J11" s="924"/>
      <c r="K11" s="924"/>
      <c r="L11" s="924" t="s">
        <v>25</v>
      </c>
      <c r="M11" s="924"/>
      <c r="N11" s="924"/>
      <c r="O11" s="924"/>
      <c r="P11" s="924"/>
    </row>
    <row r="12" spans="1:16" ht="73.5" customHeight="1">
      <c r="A12" s="927"/>
      <c r="B12" s="929"/>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96"/>
      <c r="C13" s="13" t="str">
        <f>kops1!C21</f>
        <v>Zemes darbi</v>
      </c>
      <c r="D13" s="14"/>
      <c r="E13" s="15"/>
      <c r="F13" s="59"/>
      <c r="G13" s="31"/>
      <c r="H13" s="31"/>
      <c r="I13" s="29"/>
      <c r="J13" s="29"/>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15.05">
      <c r="A14" s="451">
        <v>0</v>
      </c>
      <c r="B14" s="115"/>
      <c r="C14" s="452" t="s">
        <v>1099</v>
      </c>
      <c r="D14" s="453"/>
      <c r="E14" s="450"/>
      <c r="F14" s="454"/>
      <c r="G14" s="454"/>
      <c r="H14" s="455"/>
      <c r="I14" s="456"/>
      <c r="J14" s="456"/>
      <c r="K14" s="102">
        <f t="shared" ref="K14:K22" si="6">SUM(H14:J14)</f>
        <v>0</v>
      </c>
      <c r="L14" s="50">
        <f t="shared" ref="L14:L22" si="7">ROUND(F14*E14,2)</f>
        <v>0</v>
      </c>
      <c r="M14" s="102">
        <f t="shared" ref="M14:M22" si="8">ROUND(H14*E14,2)</f>
        <v>0</v>
      </c>
      <c r="N14" s="102">
        <f t="shared" ref="N14:N22" si="9">ROUND(I14*E14,2)</f>
        <v>0</v>
      </c>
      <c r="O14" s="102">
        <f t="shared" ref="O14:O22" si="10">ROUND(J14*E14,2)</f>
        <v>0</v>
      </c>
      <c r="P14" s="103">
        <f t="shared" ref="P14:P22" si="11">SUM(M14:O14)</f>
        <v>0</v>
      </c>
    </row>
    <row r="15" spans="1:16" s="56" customFormat="1" ht="24.9">
      <c r="A15" s="457">
        <v>1</v>
      </c>
      <c r="B15" s="458"/>
      <c r="C15" s="459" t="s">
        <v>1100</v>
      </c>
      <c r="D15" s="460" t="s">
        <v>136</v>
      </c>
      <c r="E15" s="461">
        <v>1</v>
      </c>
      <c r="F15" s="462">
        <v>160</v>
      </c>
      <c r="G15" s="463">
        <v>8.5</v>
      </c>
      <c r="H15" s="455">
        <f>ROUND(F15*G15,2)</f>
        <v>1360</v>
      </c>
      <c r="I15" s="464"/>
      <c r="J15" s="464">
        <v>315</v>
      </c>
      <c r="K15" s="102">
        <f t="shared" si="6"/>
        <v>1675</v>
      </c>
      <c r="L15" s="50">
        <f t="shared" si="7"/>
        <v>160</v>
      </c>
      <c r="M15" s="102">
        <f t="shared" si="8"/>
        <v>1360</v>
      </c>
      <c r="N15" s="102">
        <f t="shared" si="9"/>
        <v>0</v>
      </c>
      <c r="O15" s="102">
        <f t="shared" si="10"/>
        <v>315</v>
      </c>
      <c r="P15" s="103">
        <f t="shared" si="11"/>
        <v>1675</v>
      </c>
    </row>
    <row r="16" spans="1:16" s="56" customFormat="1">
      <c r="A16" s="457">
        <v>2</v>
      </c>
      <c r="B16" s="458"/>
      <c r="C16" s="459" t="s">
        <v>1101</v>
      </c>
      <c r="D16" s="460" t="s">
        <v>136</v>
      </c>
      <c r="E16" s="461">
        <v>1</v>
      </c>
      <c r="F16" s="462">
        <v>320</v>
      </c>
      <c r="G16" s="463">
        <v>8.5</v>
      </c>
      <c r="H16" s="455">
        <f t="shared" ref="H16:H22" si="12">ROUND(F16*G16,2)</f>
        <v>2720</v>
      </c>
      <c r="I16" s="464"/>
      <c r="J16" s="464">
        <v>5850</v>
      </c>
      <c r="K16" s="102">
        <f t="shared" si="6"/>
        <v>8570</v>
      </c>
      <c r="L16" s="50">
        <f t="shared" si="7"/>
        <v>320</v>
      </c>
      <c r="M16" s="102">
        <f t="shared" si="8"/>
        <v>2720</v>
      </c>
      <c r="N16" s="102">
        <f t="shared" si="9"/>
        <v>0</v>
      </c>
      <c r="O16" s="102">
        <f t="shared" si="10"/>
        <v>5850</v>
      </c>
      <c r="P16" s="103">
        <f t="shared" si="11"/>
        <v>8570</v>
      </c>
    </row>
    <row r="17" spans="1:16" s="56" customFormat="1" ht="24.9">
      <c r="A17" s="457">
        <v>3</v>
      </c>
      <c r="B17" s="458"/>
      <c r="C17" s="459" t="s">
        <v>1102</v>
      </c>
      <c r="D17" s="460" t="s">
        <v>884</v>
      </c>
      <c r="E17" s="807">
        <v>1210</v>
      </c>
      <c r="F17" s="462">
        <v>0.18</v>
      </c>
      <c r="G17" s="463">
        <v>8.5</v>
      </c>
      <c r="H17" s="455">
        <f t="shared" si="12"/>
        <v>1.53</v>
      </c>
      <c r="I17" s="464"/>
      <c r="J17" s="464">
        <v>5.04</v>
      </c>
      <c r="K17" s="102">
        <f t="shared" si="6"/>
        <v>6.57</v>
      </c>
      <c r="L17" s="50">
        <f t="shared" si="7"/>
        <v>217.8</v>
      </c>
      <c r="M17" s="102">
        <f t="shared" si="8"/>
        <v>1851.3</v>
      </c>
      <c r="N17" s="102">
        <f t="shared" si="9"/>
        <v>0</v>
      </c>
      <c r="O17" s="102">
        <f t="shared" si="10"/>
        <v>6098.4</v>
      </c>
      <c r="P17" s="103">
        <f t="shared" si="11"/>
        <v>7949.7</v>
      </c>
    </row>
    <row r="18" spans="1:16" s="56" customFormat="1" ht="24.9">
      <c r="A18" s="457">
        <v>4</v>
      </c>
      <c r="B18" s="458"/>
      <c r="C18" s="465" t="s">
        <v>1103</v>
      </c>
      <c r="D18" s="466" t="s">
        <v>884</v>
      </c>
      <c r="E18" s="808">
        <v>4746</v>
      </c>
      <c r="F18" s="462">
        <v>0.2</v>
      </c>
      <c r="G18" s="463">
        <v>8.5</v>
      </c>
      <c r="H18" s="455">
        <f t="shared" si="12"/>
        <v>1.7</v>
      </c>
      <c r="I18" s="464"/>
      <c r="J18" s="464">
        <v>4</v>
      </c>
      <c r="K18" s="102">
        <f t="shared" si="6"/>
        <v>5.7</v>
      </c>
      <c r="L18" s="50">
        <f t="shared" si="7"/>
        <v>949.2</v>
      </c>
      <c r="M18" s="102">
        <f t="shared" si="8"/>
        <v>8068.2</v>
      </c>
      <c r="N18" s="102">
        <f t="shared" si="9"/>
        <v>0</v>
      </c>
      <c r="O18" s="102">
        <f t="shared" si="10"/>
        <v>18984</v>
      </c>
      <c r="P18" s="103">
        <f t="shared" si="11"/>
        <v>27052.2</v>
      </c>
    </row>
    <row r="19" spans="1:16" s="56" customFormat="1">
      <c r="A19" s="457">
        <v>5</v>
      </c>
      <c r="B19" s="458"/>
      <c r="C19" s="468" t="s">
        <v>1104</v>
      </c>
      <c r="D19" s="466" t="s">
        <v>884</v>
      </c>
      <c r="E19" s="808">
        <v>470</v>
      </c>
      <c r="F19" s="462">
        <v>0.8</v>
      </c>
      <c r="G19" s="463">
        <v>8.5</v>
      </c>
      <c r="H19" s="455">
        <f t="shared" si="12"/>
        <v>6.8</v>
      </c>
      <c r="I19" s="464"/>
      <c r="J19" s="464"/>
      <c r="K19" s="102">
        <f t="shared" si="6"/>
        <v>6.8</v>
      </c>
      <c r="L19" s="50">
        <f t="shared" si="7"/>
        <v>376</v>
      </c>
      <c r="M19" s="102">
        <f t="shared" si="8"/>
        <v>3196</v>
      </c>
      <c r="N19" s="102">
        <f t="shared" si="9"/>
        <v>0</v>
      </c>
      <c r="O19" s="102">
        <f t="shared" si="10"/>
        <v>0</v>
      </c>
      <c r="P19" s="103">
        <f t="shared" si="11"/>
        <v>3196</v>
      </c>
    </row>
    <row r="20" spans="1:16" s="56" customFormat="1" ht="37.35">
      <c r="A20" s="457">
        <v>6</v>
      </c>
      <c r="B20" s="458"/>
      <c r="C20" s="465" t="s">
        <v>1105</v>
      </c>
      <c r="D20" s="466" t="s">
        <v>884</v>
      </c>
      <c r="E20" s="808">
        <f>2306-E21</f>
        <v>2076</v>
      </c>
      <c r="F20" s="462">
        <v>0.2</v>
      </c>
      <c r="G20" s="463">
        <v>8.5</v>
      </c>
      <c r="H20" s="455">
        <f t="shared" si="12"/>
        <v>1.7</v>
      </c>
      <c r="I20" s="464">
        <f>6.3*1.1</f>
        <v>6.9300000000000006</v>
      </c>
      <c r="J20" s="464">
        <v>3.2</v>
      </c>
      <c r="K20" s="102">
        <f t="shared" si="6"/>
        <v>11.830000000000002</v>
      </c>
      <c r="L20" s="50">
        <f t="shared" si="7"/>
        <v>415.2</v>
      </c>
      <c r="M20" s="102">
        <f t="shared" si="8"/>
        <v>3529.2</v>
      </c>
      <c r="N20" s="102">
        <f t="shared" si="9"/>
        <v>14386.68</v>
      </c>
      <c r="O20" s="102">
        <f t="shared" si="10"/>
        <v>6643.2</v>
      </c>
      <c r="P20" s="103">
        <f t="shared" si="11"/>
        <v>24559.08</v>
      </c>
    </row>
    <row r="21" spans="1:16" s="56" customFormat="1" ht="24.9">
      <c r="A21" s="457">
        <v>7</v>
      </c>
      <c r="B21" s="458"/>
      <c r="C21" s="469" t="s">
        <v>1106</v>
      </c>
      <c r="D21" s="466" t="s">
        <v>884</v>
      </c>
      <c r="E21" s="808">
        <v>230</v>
      </c>
      <c r="F21" s="462">
        <v>0.6</v>
      </c>
      <c r="G21" s="463">
        <v>8.5</v>
      </c>
      <c r="H21" s="455">
        <f t="shared" si="12"/>
        <v>5.0999999999999996</v>
      </c>
      <c r="I21" s="464">
        <f>6.3*1.1</f>
        <v>6.9300000000000006</v>
      </c>
      <c r="J21" s="464">
        <v>0.28000000000000003</v>
      </c>
      <c r="K21" s="102">
        <f t="shared" si="6"/>
        <v>12.31</v>
      </c>
      <c r="L21" s="50">
        <f t="shared" si="7"/>
        <v>138</v>
      </c>
      <c r="M21" s="102">
        <f t="shared" si="8"/>
        <v>1173</v>
      </c>
      <c r="N21" s="102">
        <f t="shared" si="9"/>
        <v>1593.9</v>
      </c>
      <c r="O21" s="102">
        <f t="shared" si="10"/>
        <v>64.400000000000006</v>
      </c>
      <c r="P21" s="103">
        <f t="shared" si="11"/>
        <v>2831.3</v>
      </c>
    </row>
    <row r="22" spans="1:16" s="56" customFormat="1">
      <c r="A22" s="457">
        <v>8</v>
      </c>
      <c r="B22" s="458"/>
      <c r="C22" s="469" t="s">
        <v>1107</v>
      </c>
      <c r="D22" s="466" t="s">
        <v>884</v>
      </c>
      <c r="E22" s="808">
        <f>E18+E19+E17</f>
        <v>6426</v>
      </c>
      <c r="F22" s="462">
        <v>0.2</v>
      </c>
      <c r="G22" s="463">
        <v>8.5</v>
      </c>
      <c r="H22" s="455">
        <f t="shared" si="12"/>
        <v>1.7</v>
      </c>
      <c r="I22" s="464"/>
      <c r="J22" s="464">
        <v>5.5</v>
      </c>
      <c r="K22" s="102">
        <f t="shared" si="6"/>
        <v>7.2</v>
      </c>
      <c r="L22" s="50">
        <f t="shared" si="7"/>
        <v>1285.2</v>
      </c>
      <c r="M22" s="102">
        <f t="shared" si="8"/>
        <v>10924.2</v>
      </c>
      <c r="N22" s="102">
        <f t="shared" si="9"/>
        <v>0</v>
      </c>
      <c r="O22" s="102">
        <f t="shared" si="10"/>
        <v>35343</v>
      </c>
      <c r="P22" s="103">
        <f t="shared" si="11"/>
        <v>46267.199999999997</v>
      </c>
    </row>
    <row r="23" spans="1:16">
      <c r="A23" s="34"/>
      <c r="B23" s="116"/>
      <c r="C23" s="36"/>
      <c r="D23" s="37"/>
      <c r="E23" s="38"/>
      <c r="F23" s="39">
        <v>0</v>
      </c>
      <c r="G23" s="39">
        <v>0</v>
      </c>
      <c r="H23" s="39"/>
      <c r="I23" s="38"/>
      <c r="J23" s="38"/>
      <c r="K23" s="38"/>
      <c r="L23" s="38"/>
      <c r="M23" s="38"/>
      <c r="N23" s="38"/>
      <c r="O23" s="38"/>
      <c r="P23" s="40"/>
    </row>
    <row r="24" spans="1:16" ht="15.05" customHeight="1">
      <c r="A24" s="41"/>
      <c r="B24" s="117"/>
      <c r="C24" s="932" t="s">
        <v>98</v>
      </c>
      <c r="D24" s="933"/>
      <c r="E24" s="933"/>
      <c r="F24" s="933"/>
      <c r="G24" s="933"/>
      <c r="H24" s="933"/>
      <c r="I24" s="933"/>
      <c r="J24" s="933"/>
      <c r="K24" s="933"/>
      <c r="L24" s="42">
        <f>SUM(L13:L23)</f>
        <v>3861.3999999999996</v>
      </c>
      <c r="M24" s="42">
        <f>SUM(M13:M23)</f>
        <v>32821.9</v>
      </c>
      <c r="N24" s="42">
        <f>SUM(N13:N23)</f>
        <v>15980.58</v>
      </c>
      <c r="O24" s="42">
        <f>SUM(O13:O23)</f>
        <v>73298</v>
      </c>
      <c r="P24" s="42">
        <f>SUM(P13:P23)</f>
        <v>122100.48000000001</v>
      </c>
    </row>
    <row r="25" spans="1:16" s="125" customFormat="1">
      <c r="I25" s="146"/>
    </row>
    <row r="26" spans="1:16" s="122" customFormat="1" ht="12.8" customHeight="1">
      <c r="B26" s="147" t="s">
        <v>54</v>
      </c>
    </row>
    <row r="27" spans="1:16" s="122" customFormat="1" ht="45" customHeight="1">
      <c r="A27" s="926" t="s">
        <v>57</v>
      </c>
      <c r="B27" s="926"/>
      <c r="C27" s="926"/>
      <c r="D27" s="926"/>
      <c r="E27" s="926"/>
      <c r="F27" s="926"/>
      <c r="G27" s="926"/>
      <c r="H27" s="926"/>
      <c r="I27" s="926"/>
      <c r="J27" s="926"/>
      <c r="K27" s="926"/>
      <c r="L27" s="926"/>
      <c r="M27" s="926"/>
      <c r="N27" s="926"/>
      <c r="O27" s="926"/>
      <c r="P27" s="926"/>
    </row>
    <row r="28" spans="1:16" s="122" customFormat="1" ht="91" customHeight="1">
      <c r="A28" s="925"/>
      <c r="B28" s="925"/>
      <c r="C28" s="925"/>
      <c r="D28" s="925"/>
      <c r="E28" s="925"/>
      <c r="F28" s="925"/>
      <c r="G28" s="925"/>
      <c r="H28" s="925"/>
      <c r="I28" s="925"/>
      <c r="J28" s="925"/>
      <c r="K28" s="925"/>
      <c r="L28" s="925"/>
      <c r="M28" s="925"/>
      <c r="N28" s="925"/>
      <c r="O28" s="925"/>
      <c r="P28" s="925"/>
    </row>
    <row r="29" spans="1:16" s="122" customFormat="1" ht="12.8" customHeight="1">
      <c r="B29" s="148"/>
    </row>
    <row r="30" spans="1:16" s="122" customFormat="1" ht="12.8" customHeight="1">
      <c r="B30" s="148"/>
    </row>
    <row r="31" spans="1:16" s="125" customFormat="1">
      <c r="B31" s="125" t="s">
        <v>8</v>
      </c>
      <c r="L31" s="157" t="str">
        <f>Koptame!B39</f>
        <v>Pārbaudīja:</v>
      </c>
      <c r="M31" s="157"/>
      <c r="N31" s="157"/>
      <c r="O31" s="157"/>
      <c r="P31" s="157"/>
    </row>
    <row r="32" spans="1:16" s="125" customFormat="1" ht="14.25" customHeight="1">
      <c r="C32" s="178" t="str">
        <f>Koptame!C34</f>
        <v>Arnis Gailītis</v>
      </c>
      <c r="L32" s="178"/>
      <c r="M32" s="922" t="str">
        <f>Koptame!C40</f>
        <v>Dzintra Cīrule</v>
      </c>
      <c r="N32" s="922"/>
      <c r="O32" s="157"/>
      <c r="P32" s="157"/>
    </row>
    <row r="33" spans="2:16" s="125" customFormat="1">
      <c r="C33" s="179" t="str">
        <f>Koptame!C35</f>
        <v>Sertifikāta Nr.20-5643</v>
      </c>
      <c r="L33" s="179"/>
      <c r="M33" s="923" t="str">
        <f>Koptame!C41</f>
        <v>Sertifikāta Nr.10-0363</v>
      </c>
      <c r="N33" s="923"/>
      <c r="O33" s="157"/>
      <c r="P33" s="157"/>
    </row>
    <row r="34" spans="2:16" s="125" customFormat="1" collapsed="1">
      <c r="B34" s="146"/>
      <c r="F34" s="146"/>
      <c r="G34" s="146"/>
    </row>
  </sheetData>
  <mergeCells count="17">
    <mergeCell ref="M32:N32"/>
    <mergeCell ref="M33:N33"/>
    <mergeCell ref="L11:P11"/>
    <mergeCell ref="A28:P28"/>
    <mergeCell ref="A27:P27"/>
    <mergeCell ref="A11:A12"/>
    <mergeCell ref="B11:B12"/>
    <mergeCell ref="C11:C12"/>
    <mergeCell ref="D11:D12"/>
    <mergeCell ref="C24:K24"/>
    <mergeCell ref="E11:E12"/>
    <mergeCell ref="F11:K11"/>
    <mergeCell ref="A2:P2"/>
    <mergeCell ref="L9:O9"/>
    <mergeCell ref="D3:P3"/>
    <mergeCell ref="D4:P4"/>
    <mergeCell ref="D5:P5"/>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52"/>
  <sheetViews>
    <sheetView showZeros="0" view="pageBreakPreview" topLeftCell="A4" zoomScale="90" zoomScaleNormal="100" zoomScaleSheetLayoutView="90" workbookViewId="0">
      <selection activeCell="A14" sqref="A14:K40"/>
    </sheetView>
  </sheetViews>
  <sheetFormatPr defaultColWidth="9.125" defaultRowHeight="14.4"/>
  <cols>
    <col min="1" max="1" width="9" style="19" customWidth="1"/>
    <col min="2" max="2" width="9.375" style="19" customWidth="1"/>
    <col min="3" max="3" width="40.25" style="19" customWidth="1"/>
    <col min="4" max="4" width="19" style="19" customWidth="1"/>
    <col min="5" max="5" width="8.125" style="19" customWidth="1"/>
    <col min="6" max="9" width="9.125" style="19"/>
    <col min="10" max="10" width="9.125" style="56"/>
    <col min="11" max="12" width="9.125" style="19"/>
    <col min="13" max="13" width="11.625" style="19" customWidth="1"/>
    <col min="14" max="14" width="12.25" style="19" customWidth="1"/>
    <col min="15" max="15" width="12.75" style="19" customWidth="1"/>
    <col min="16" max="16" width="11.625" style="19" customWidth="1"/>
    <col min="17" max="17" width="13.625" style="19" customWidth="1"/>
    <col min="18" max="16384" width="9.125" style="19"/>
  </cols>
  <sheetData>
    <row r="1" spans="1:17" s="24" customFormat="1">
      <c r="F1" s="21"/>
      <c r="G1" s="21"/>
      <c r="H1" s="181" t="s">
        <v>92</v>
      </c>
      <c r="I1" s="121" t="str">
        <f>kops3!B22</f>
        <v>3,2</v>
      </c>
      <c r="J1" s="53"/>
    </row>
    <row r="2" spans="1:17" s="24" customFormat="1">
      <c r="A2" s="919" t="str">
        <f>C13</f>
        <v>Ārējā sadzīves kanalizācija</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54"/>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Q42</f>
        <v>8985.52</v>
      </c>
    </row>
    <row r="8" spans="1:17">
      <c r="A8" s="23"/>
      <c r="B8" s="23"/>
      <c r="E8" s="27"/>
      <c r="F8" s="43"/>
      <c r="G8" s="43"/>
      <c r="H8" s="43"/>
      <c r="I8" s="43"/>
      <c r="J8" s="54"/>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209"/>
      <c r="B13" s="210">
        <v>0</v>
      </c>
      <c r="C13" s="949" t="str">
        <f>kops3!C22</f>
        <v>Ārējā sadzīves kanalizācija</v>
      </c>
      <c r="D13" s="950"/>
      <c r="E13" s="212"/>
      <c r="F13" s="213"/>
      <c r="G13" s="214">
        <v>0</v>
      </c>
      <c r="H13" s="215">
        <v>0</v>
      </c>
      <c r="I13" s="216">
        <v>0</v>
      </c>
      <c r="J13" s="215">
        <v>0</v>
      </c>
      <c r="K13" s="215">
        <v>0</v>
      </c>
      <c r="L13" s="215">
        <f t="shared" ref="L13" si="0">SUM(I13:K13)</f>
        <v>0</v>
      </c>
      <c r="M13" s="214">
        <f t="shared" ref="M13:M40" si="1">ROUND(G13*F13,2)</f>
        <v>0</v>
      </c>
      <c r="N13" s="215">
        <f t="shared" ref="N13:N14" si="2">ROUND(I13*F13,2)</f>
        <v>0</v>
      </c>
      <c r="O13" s="215">
        <f t="shared" ref="O13:O14" si="3">ROUND(J13*F13,2)</f>
        <v>0</v>
      </c>
      <c r="P13" s="215">
        <f t="shared" ref="P13:P14" si="4">ROUND(K13*F13,2)</f>
        <v>0</v>
      </c>
      <c r="Q13" s="244">
        <f t="shared" ref="Q13:Q14" si="5">SUM(N13:P13)</f>
        <v>0</v>
      </c>
    </row>
    <row r="14" spans="1:17" s="56" customFormat="1" ht="26.2">
      <c r="A14" s="750"/>
      <c r="B14" s="583"/>
      <c r="C14" s="341" t="s">
        <v>905</v>
      </c>
      <c r="D14" s="341"/>
      <c r="E14" s="341"/>
      <c r="F14" s="321"/>
      <c r="G14" s="275">
        <f>IFERROR(ROUND(I14/H14,2),0)</f>
        <v>0</v>
      </c>
      <c r="H14" s="275">
        <f>IF(I14&gt;0,5,0)</f>
        <v>0</v>
      </c>
      <c r="I14" s="316"/>
      <c r="J14" s="316"/>
      <c r="K14" s="316"/>
      <c r="L14" s="275">
        <f t="shared" ref="L14" si="6">SUM(I14:K14)</f>
        <v>0</v>
      </c>
      <c r="M14" s="275">
        <f t="shared" si="1"/>
        <v>0</v>
      </c>
      <c r="N14" s="275">
        <f t="shared" si="2"/>
        <v>0</v>
      </c>
      <c r="O14" s="275">
        <f t="shared" si="3"/>
        <v>0</v>
      </c>
      <c r="P14" s="275">
        <f t="shared" si="4"/>
        <v>0</v>
      </c>
      <c r="Q14" s="286">
        <f t="shared" si="5"/>
        <v>0</v>
      </c>
    </row>
    <row r="15" spans="1:17" s="56" customFormat="1" ht="24.9">
      <c r="A15" s="261">
        <v>1</v>
      </c>
      <c r="B15" s="583"/>
      <c r="C15" s="263" t="s">
        <v>906</v>
      </c>
      <c r="D15" s="310" t="s">
        <v>867</v>
      </c>
      <c r="E15" s="310" t="s">
        <v>111</v>
      </c>
      <c r="F15" s="264">
        <v>59.2</v>
      </c>
      <c r="G15" s="275"/>
      <c r="H15" s="266"/>
      <c r="I15" s="222"/>
      <c r="J15" s="316">
        <v>6.07</v>
      </c>
      <c r="K15" s="316"/>
      <c r="L15" s="102">
        <f t="shared" ref="L15:L40" si="7">SUM(I15:K15)</f>
        <v>6.07</v>
      </c>
      <c r="M15" s="50">
        <f t="shared" si="1"/>
        <v>0</v>
      </c>
      <c r="N15" s="102">
        <f t="shared" ref="N15:N40" si="8">ROUND(I15*F15,2)</f>
        <v>0</v>
      </c>
      <c r="O15" s="102">
        <f t="shared" ref="O15:O40" si="9">ROUND(J15*F15,2)</f>
        <v>359.34</v>
      </c>
      <c r="P15" s="102">
        <f t="shared" ref="P15:P40" si="10">ROUND(K15*F15,2)</f>
        <v>0</v>
      </c>
      <c r="Q15" s="103">
        <f t="shared" ref="Q15:Q40" si="11">SUM(N15:P15)</f>
        <v>359.34</v>
      </c>
    </row>
    <row r="16" spans="1:17" s="56" customFormat="1" ht="24.9">
      <c r="A16" s="751">
        <v>2</v>
      </c>
      <c r="B16" s="583"/>
      <c r="C16" s="263" t="s">
        <v>906</v>
      </c>
      <c r="D16" s="310" t="s">
        <v>199</v>
      </c>
      <c r="E16" s="336" t="s">
        <v>111</v>
      </c>
      <c r="F16" s="272">
        <v>5</v>
      </c>
      <c r="G16" s="275"/>
      <c r="H16" s="266"/>
      <c r="I16" s="222"/>
      <c r="J16" s="316">
        <v>3.37</v>
      </c>
      <c r="K16" s="316"/>
      <c r="L16" s="102">
        <f t="shared" si="7"/>
        <v>3.37</v>
      </c>
      <c r="M16" s="50">
        <f t="shared" si="1"/>
        <v>0</v>
      </c>
      <c r="N16" s="102">
        <f t="shared" si="8"/>
        <v>0</v>
      </c>
      <c r="O16" s="102">
        <f t="shared" si="9"/>
        <v>16.850000000000001</v>
      </c>
      <c r="P16" s="102">
        <f t="shared" si="10"/>
        <v>0</v>
      </c>
      <c r="Q16" s="103">
        <f t="shared" si="11"/>
        <v>16.850000000000001</v>
      </c>
    </row>
    <row r="17" spans="1:17" s="56" customFormat="1" ht="37.35">
      <c r="A17" s="751">
        <v>3</v>
      </c>
      <c r="B17" s="583"/>
      <c r="C17" s="263" t="s">
        <v>907</v>
      </c>
      <c r="D17" s="310" t="s">
        <v>908</v>
      </c>
      <c r="E17" s="336" t="s">
        <v>111</v>
      </c>
      <c r="F17" s="272">
        <v>6</v>
      </c>
      <c r="G17" s="275"/>
      <c r="H17" s="266"/>
      <c r="I17" s="222"/>
      <c r="J17" s="316">
        <v>6.2</v>
      </c>
      <c r="K17" s="316"/>
      <c r="L17" s="102">
        <f t="shared" si="7"/>
        <v>6.2</v>
      </c>
      <c r="M17" s="50">
        <f t="shared" si="1"/>
        <v>0</v>
      </c>
      <c r="N17" s="102">
        <f t="shared" si="8"/>
        <v>0</v>
      </c>
      <c r="O17" s="102">
        <f t="shared" si="9"/>
        <v>37.200000000000003</v>
      </c>
      <c r="P17" s="102">
        <f t="shared" si="10"/>
        <v>0</v>
      </c>
      <c r="Q17" s="103">
        <f t="shared" si="11"/>
        <v>37.200000000000003</v>
      </c>
    </row>
    <row r="18" spans="1:17" s="56" customFormat="1" ht="62.2">
      <c r="A18" s="751">
        <v>4</v>
      </c>
      <c r="B18" s="583"/>
      <c r="C18" s="263" t="s">
        <v>909</v>
      </c>
      <c r="D18" s="272" t="s">
        <v>910</v>
      </c>
      <c r="E18" s="272" t="s">
        <v>136</v>
      </c>
      <c r="F18" s="272">
        <v>3</v>
      </c>
      <c r="G18" s="275"/>
      <c r="H18" s="266"/>
      <c r="I18" s="222"/>
      <c r="J18" s="316">
        <v>246</v>
      </c>
      <c r="K18" s="316"/>
      <c r="L18" s="102">
        <f t="shared" si="7"/>
        <v>246</v>
      </c>
      <c r="M18" s="50">
        <f t="shared" si="1"/>
        <v>0</v>
      </c>
      <c r="N18" s="102">
        <f t="shared" si="8"/>
        <v>0</v>
      </c>
      <c r="O18" s="102">
        <f t="shared" si="9"/>
        <v>738</v>
      </c>
      <c r="P18" s="102">
        <f t="shared" si="10"/>
        <v>0</v>
      </c>
      <c r="Q18" s="103">
        <f t="shared" si="11"/>
        <v>738</v>
      </c>
    </row>
    <row r="19" spans="1:17" s="56" customFormat="1" ht="49.75">
      <c r="A19" s="261">
        <v>5</v>
      </c>
      <c r="B19" s="583"/>
      <c r="C19" s="263" t="s">
        <v>911</v>
      </c>
      <c r="D19" s="272" t="s">
        <v>910</v>
      </c>
      <c r="E19" s="272" t="s">
        <v>136</v>
      </c>
      <c r="F19" s="264">
        <v>1</v>
      </c>
      <c r="G19" s="275"/>
      <c r="H19" s="266"/>
      <c r="I19" s="222"/>
      <c r="J19" s="316">
        <v>215</v>
      </c>
      <c r="K19" s="316"/>
      <c r="L19" s="102">
        <f t="shared" si="7"/>
        <v>215</v>
      </c>
      <c r="M19" s="50">
        <f t="shared" si="1"/>
        <v>0</v>
      </c>
      <c r="N19" s="102">
        <f t="shared" si="8"/>
        <v>0</v>
      </c>
      <c r="O19" s="102">
        <f t="shared" si="9"/>
        <v>215</v>
      </c>
      <c r="P19" s="102">
        <f t="shared" si="10"/>
        <v>0</v>
      </c>
      <c r="Q19" s="103">
        <f t="shared" si="11"/>
        <v>215</v>
      </c>
    </row>
    <row r="20" spans="1:17" s="56" customFormat="1">
      <c r="A20" s="261">
        <v>6</v>
      </c>
      <c r="B20" s="583"/>
      <c r="C20" s="263" t="s">
        <v>912</v>
      </c>
      <c r="D20" s="310"/>
      <c r="E20" s="272" t="s">
        <v>136</v>
      </c>
      <c r="F20" s="264">
        <v>1</v>
      </c>
      <c r="G20" s="275"/>
      <c r="H20" s="266"/>
      <c r="I20" s="222"/>
      <c r="J20" s="316">
        <v>80</v>
      </c>
      <c r="K20" s="316"/>
      <c r="L20" s="102">
        <f t="shared" si="7"/>
        <v>80</v>
      </c>
      <c r="M20" s="50">
        <f t="shared" si="1"/>
        <v>0</v>
      </c>
      <c r="N20" s="102">
        <f t="shared" si="8"/>
        <v>0</v>
      </c>
      <c r="O20" s="102">
        <f t="shared" si="9"/>
        <v>80</v>
      </c>
      <c r="P20" s="102">
        <f t="shared" si="10"/>
        <v>0</v>
      </c>
      <c r="Q20" s="103">
        <f t="shared" si="11"/>
        <v>80</v>
      </c>
    </row>
    <row r="21" spans="1:17" s="56" customFormat="1">
      <c r="A21" s="261">
        <v>7</v>
      </c>
      <c r="B21" s="583"/>
      <c r="C21" s="317" t="s">
        <v>913</v>
      </c>
      <c r="D21" s="336" t="s">
        <v>883</v>
      </c>
      <c r="E21" s="336" t="s">
        <v>884</v>
      </c>
      <c r="F21" s="264">
        <v>12</v>
      </c>
      <c r="G21" s="275"/>
      <c r="H21" s="266"/>
      <c r="I21" s="222"/>
      <c r="J21" s="316">
        <v>6.6</v>
      </c>
      <c r="K21" s="316"/>
      <c r="L21" s="102">
        <f t="shared" si="7"/>
        <v>6.6</v>
      </c>
      <c r="M21" s="50">
        <f t="shared" si="1"/>
        <v>0</v>
      </c>
      <c r="N21" s="102">
        <f t="shared" si="8"/>
        <v>0</v>
      </c>
      <c r="O21" s="102">
        <f t="shared" si="9"/>
        <v>79.2</v>
      </c>
      <c r="P21" s="102">
        <f t="shared" si="10"/>
        <v>0</v>
      </c>
      <c r="Q21" s="103">
        <f t="shared" si="11"/>
        <v>79.2</v>
      </c>
    </row>
    <row r="22" spans="1:17" s="56" customFormat="1">
      <c r="A22" s="261">
        <v>8</v>
      </c>
      <c r="B22" s="583"/>
      <c r="C22" s="317" t="s">
        <v>885</v>
      </c>
      <c r="D22" s="336" t="s">
        <v>886</v>
      </c>
      <c r="E22" s="336" t="s">
        <v>884</v>
      </c>
      <c r="F22" s="264">
        <v>31</v>
      </c>
      <c r="G22" s="275"/>
      <c r="H22" s="266"/>
      <c r="I22" s="222"/>
      <c r="J22" s="316">
        <v>6.6</v>
      </c>
      <c r="K22" s="316"/>
      <c r="L22" s="102">
        <f t="shared" si="7"/>
        <v>6.6</v>
      </c>
      <c r="M22" s="50">
        <f t="shared" si="1"/>
        <v>0</v>
      </c>
      <c r="N22" s="102">
        <f t="shared" si="8"/>
        <v>0</v>
      </c>
      <c r="O22" s="102">
        <f t="shared" si="9"/>
        <v>204.6</v>
      </c>
      <c r="P22" s="102">
        <f t="shared" si="10"/>
        <v>0</v>
      </c>
      <c r="Q22" s="103">
        <f t="shared" si="11"/>
        <v>204.6</v>
      </c>
    </row>
    <row r="23" spans="1:17" s="56" customFormat="1" ht="24.9">
      <c r="A23" s="261">
        <v>9</v>
      </c>
      <c r="B23" s="583"/>
      <c r="C23" s="263" t="s">
        <v>887</v>
      </c>
      <c r="D23" s="336"/>
      <c r="E23" s="336" t="s">
        <v>884</v>
      </c>
      <c r="F23" s="264">
        <v>142</v>
      </c>
      <c r="G23" s="275"/>
      <c r="H23" s="275"/>
      <c r="I23" s="316"/>
      <c r="J23" s="316">
        <v>6.6</v>
      </c>
      <c r="K23" s="316"/>
      <c r="L23" s="102">
        <f t="shared" si="7"/>
        <v>6.6</v>
      </c>
      <c r="M23" s="50">
        <f t="shared" si="1"/>
        <v>0</v>
      </c>
      <c r="N23" s="102">
        <f t="shared" si="8"/>
        <v>0</v>
      </c>
      <c r="O23" s="102">
        <f t="shared" si="9"/>
        <v>937.2</v>
      </c>
      <c r="P23" s="102">
        <f t="shared" si="10"/>
        <v>0</v>
      </c>
      <c r="Q23" s="103">
        <f t="shared" si="11"/>
        <v>937.2</v>
      </c>
    </row>
    <row r="24" spans="1:17" s="56" customFormat="1">
      <c r="A24" s="751"/>
      <c r="B24" s="583"/>
      <c r="C24" s="337"/>
      <c r="D24" s="310"/>
      <c r="E24" s="336"/>
      <c r="F24" s="752"/>
      <c r="G24" s="275">
        <f>IFERROR(ROUND(I24/H24,2),0)</f>
        <v>0</v>
      </c>
      <c r="H24" s="275">
        <f>IF(I24&gt;0,5,0)</f>
        <v>0</v>
      </c>
      <c r="I24" s="316"/>
      <c r="J24" s="316"/>
      <c r="K24" s="316"/>
      <c r="L24" s="102">
        <f t="shared" si="7"/>
        <v>0</v>
      </c>
      <c r="M24" s="50">
        <f t="shared" si="1"/>
        <v>0</v>
      </c>
      <c r="N24" s="102">
        <f t="shared" si="8"/>
        <v>0</v>
      </c>
      <c r="O24" s="102">
        <f t="shared" si="9"/>
        <v>0</v>
      </c>
      <c r="P24" s="102">
        <f t="shared" si="10"/>
        <v>0</v>
      </c>
      <c r="Q24" s="103">
        <f t="shared" si="11"/>
        <v>0</v>
      </c>
    </row>
    <row r="25" spans="1:17" s="56" customFormat="1" ht="26.2">
      <c r="A25" s="279"/>
      <c r="B25" s="583"/>
      <c r="C25" s="341" t="s">
        <v>914</v>
      </c>
      <c r="D25" s="342"/>
      <c r="E25" s="341"/>
      <c r="F25" s="321"/>
      <c r="G25" s="275">
        <f>IFERROR(ROUND(I25/H25,2),0)</f>
        <v>0</v>
      </c>
      <c r="H25" s="275">
        <f>IF(I25&gt;0,5,0)</f>
        <v>0</v>
      </c>
      <c r="I25" s="316"/>
      <c r="J25" s="316"/>
      <c r="K25" s="316"/>
      <c r="L25" s="102">
        <f t="shared" si="7"/>
        <v>0</v>
      </c>
      <c r="M25" s="50">
        <f t="shared" si="1"/>
        <v>0</v>
      </c>
      <c r="N25" s="102">
        <f t="shared" si="8"/>
        <v>0</v>
      </c>
      <c r="O25" s="102">
        <f t="shared" si="9"/>
        <v>0</v>
      </c>
      <c r="P25" s="102">
        <f t="shared" si="10"/>
        <v>0</v>
      </c>
      <c r="Q25" s="103">
        <f t="shared" si="11"/>
        <v>0</v>
      </c>
    </row>
    <row r="26" spans="1:17" s="56" customFormat="1">
      <c r="A26" s="751">
        <v>10</v>
      </c>
      <c r="B26" s="583"/>
      <c r="C26" s="339" t="s">
        <v>889</v>
      </c>
      <c r="D26" s="310"/>
      <c r="E26" s="310" t="s">
        <v>111</v>
      </c>
      <c r="F26" s="753">
        <v>70.2</v>
      </c>
      <c r="G26" s="275">
        <v>0.3</v>
      </c>
      <c r="H26" s="266">
        <v>10</v>
      </c>
      <c r="I26" s="222">
        <f t="shared" ref="I26:I35" si="12">ROUND(G26*H26,2)</f>
        <v>3</v>
      </c>
      <c r="J26" s="316"/>
      <c r="K26" s="222">
        <v>0.2</v>
      </c>
      <c r="L26" s="102">
        <f t="shared" si="7"/>
        <v>3.2</v>
      </c>
      <c r="M26" s="50">
        <f t="shared" si="1"/>
        <v>21.06</v>
      </c>
      <c r="N26" s="102">
        <f t="shared" si="8"/>
        <v>210.6</v>
      </c>
      <c r="O26" s="102">
        <f t="shared" si="9"/>
        <v>0</v>
      </c>
      <c r="P26" s="102">
        <f t="shared" si="10"/>
        <v>14.04</v>
      </c>
      <c r="Q26" s="103">
        <f t="shared" si="11"/>
        <v>224.64</v>
      </c>
    </row>
    <row r="27" spans="1:17" s="56" customFormat="1">
      <c r="A27" s="751">
        <v>11</v>
      </c>
      <c r="B27" s="583"/>
      <c r="C27" s="340" t="s">
        <v>915</v>
      </c>
      <c r="D27" s="310"/>
      <c r="E27" s="310" t="s">
        <v>111</v>
      </c>
      <c r="F27" s="753">
        <v>70.2</v>
      </c>
      <c r="G27" s="275">
        <v>1.6</v>
      </c>
      <c r="H27" s="266">
        <v>10</v>
      </c>
      <c r="I27" s="222">
        <f t="shared" si="12"/>
        <v>16</v>
      </c>
      <c r="J27" s="316"/>
      <c r="K27" s="316">
        <v>0.2</v>
      </c>
      <c r="L27" s="102">
        <f t="shared" si="7"/>
        <v>16.2</v>
      </c>
      <c r="M27" s="50">
        <f t="shared" si="1"/>
        <v>112.32</v>
      </c>
      <c r="N27" s="102">
        <f t="shared" si="8"/>
        <v>1123.2</v>
      </c>
      <c r="O27" s="102">
        <f t="shared" si="9"/>
        <v>0</v>
      </c>
      <c r="P27" s="102">
        <f t="shared" si="10"/>
        <v>14.04</v>
      </c>
      <c r="Q27" s="103">
        <f t="shared" si="11"/>
        <v>1137.24</v>
      </c>
    </row>
    <row r="28" spans="1:17" s="56" customFormat="1">
      <c r="A28" s="751">
        <v>12</v>
      </c>
      <c r="B28" s="583"/>
      <c r="C28" s="339" t="s">
        <v>916</v>
      </c>
      <c r="D28" s="336"/>
      <c r="E28" s="272" t="s">
        <v>136</v>
      </c>
      <c r="F28" s="752">
        <v>4</v>
      </c>
      <c r="G28" s="275">
        <v>7.1</v>
      </c>
      <c r="H28" s="266">
        <v>10</v>
      </c>
      <c r="I28" s="222">
        <f t="shared" si="12"/>
        <v>71</v>
      </c>
      <c r="J28" s="316"/>
      <c r="K28" s="316">
        <v>18</v>
      </c>
      <c r="L28" s="102">
        <f t="shared" si="7"/>
        <v>89</v>
      </c>
      <c r="M28" s="50">
        <f t="shared" si="1"/>
        <v>28.4</v>
      </c>
      <c r="N28" s="102">
        <f t="shared" si="8"/>
        <v>284</v>
      </c>
      <c r="O28" s="102">
        <f t="shared" si="9"/>
        <v>0</v>
      </c>
      <c r="P28" s="102">
        <f t="shared" si="10"/>
        <v>72</v>
      </c>
      <c r="Q28" s="103">
        <f t="shared" si="11"/>
        <v>356</v>
      </c>
    </row>
    <row r="29" spans="1:17" s="56" customFormat="1">
      <c r="A29" s="751">
        <v>13</v>
      </c>
      <c r="B29" s="583"/>
      <c r="C29" s="340" t="s">
        <v>893</v>
      </c>
      <c r="D29" s="336"/>
      <c r="E29" s="310" t="s">
        <v>884</v>
      </c>
      <c r="F29" s="752">
        <v>12</v>
      </c>
      <c r="G29" s="275">
        <v>0.69</v>
      </c>
      <c r="H29" s="266">
        <v>10</v>
      </c>
      <c r="I29" s="222">
        <f t="shared" si="12"/>
        <v>6.9</v>
      </c>
      <c r="J29" s="316"/>
      <c r="K29" s="316">
        <v>0.65</v>
      </c>
      <c r="L29" s="102">
        <f t="shared" si="7"/>
        <v>7.5500000000000007</v>
      </c>
      <c r="M29" s="50">
        <f t="shared" si="1"/>
        <v>8.2799999999999994</v>
      </c>
      <c r="N29" s="102">
        <f t="shared" si="8"/>
        <v>82.8</v>
      </c>
      <c r="O29" s="102">
        <f t="shared" si="9"/>
        <v>0</v>
      </c>
      <c r="P29" s="102">
        <f t="shared" si="10"/>
        <v>7.8</v>
      </c>
      <c r="Q29" s="103">
        <f t="shared" si="11"/>
        <v>90.6</v>
      </c>
    </row>
    <row r="30" spans="1:17" s="56" customFormat="1">
      <c r="A30" s="751">
        <v>14</v>
      </c>
      <c r="B30" s="583"/>
      <c r="C30" s="339" t="s">
        <v>917</v>
      </c>
      <c r="D30" s="336"/>
      <c r="E30" s="336" t="s">
        <v>884</v>
      </c>
      <c r="F30" s="752">
        <v>31</v>
      </c>
      <c r="G30" s="275">
        <v>0.69</v>
      </c>
      <c r="H30" s="266">
        <v>10</v>
      </c>
      <c r="I30" s="222">
        <f t="shared" si="12"/>
        <v>6.9</v>
      </c>
      <c r="J30" s="316"/>
      <c r="K30" s="316">
        <v>0.65</v>
      </c>
      <c r="L30" s="102">
        <f t="shared" si="7"/>
        <v>7.5500000000000007</v>
      </c>
      <c r="M30" s="50">
        <f t="shared" si="1"/>
        <v>21.39</v>
      </c>
      <c r="N30" s="102">
        <f t="shared" si="8"/>
        <v>213.9</v>
      </c>
      <c r="O30" s="102">
        <f t="shared" si="9"/>
        <v>0</v>
      </c>
      <c r="P30" s="102">
        <f t="shared" si="10"/>
        <v>20.149999999999999</v>
      </c>
      <c r="Q30" s="103">
        <f t="shared" si="11"/>
        <v>234.05</v>
      </c>
    </row>
    <row r="31" spans="1:17" s="56" customFormat="1">
      <c r="A31" s="751">
        <v>15</v>
      </c>
      <c r="B31" s="583"/>
      <c r="C31" s="340" t="s">
        <v>897</v>
      </c>
      <c r="D31" s="336"/>
      <c r="E31" s="336" t="s">
        <v>884</v>
      </c>
      <c r="F31" s="752">
        <v>185</v>
      </c>
      <c r="G31" s="267">
        <v>0.18</v>
      </c>
      <c r="H31" s="266">
        <v>10</v>
      </c>
      <c r="I31" s="222">
        <f t="shared" si="12"/>
        <v>1.8</v>
      </c>
      <c r="J31" s="316"/>
      <c r="K31" s="316">
        <v>1.8</v>
      </c>
      <c r="L31" s="102">
        <f t="shared" si="7"/>
        <v>3.6</v>
      </c>
      <c r="M31" s="50">
        <f t="shared" si="1"/>
        <v>33.299999999999997</v>
      </c>
      <c r="N31" s="102">
        <f t="shared" si="8"/>
        <v>333</v>
      </c>
      <c r="O31" s="102">
        <f t="shared" si="9"/>
        <v>0</v>
      </c>
      <c r="P31" s="102">
        <f t="shared" si="10"/>
        <v>333</v>
      </c>
      <c r="Q31" s="103">
        <f t="shared" si="11"/>
        <v>666</v>
      </c>
    </row>
    <row r="32" spans="1:17" s="56" customFormat="1" ht="38">
      <c r="A32" s="751">
        <v>16</v>
      </c>
      <c r="B32" s="583"/>
      <c r="C32" s="340" t="s">
        <v>898</v>
      </c>
      <c r="D32" s="336"/>
      <c r="E32" s="336" t="s">
        <v>884</v>
      </c>
      <c r="F32" s="752">
        <v>142</v>
      </c>
      <c r="G32" s="267">
        <v>0.3</v>
      </c>
      <c r="H32" s="266">
        <v>10</v>
      </c>
      <c r="I32" s="222">
        <f t="shared" si="12"/>
        <v>3</v>
      </c>
      <c r="J32" s="316">
        <v>6.6</v>
      </c>
      <c r="K32" s="316">
        <v>0.4</v>
      </c>
      <c r="L32" s="102">
        <f t="shared" si="7"/>
        <v>10</v>
      </c>
      <c r="M32" s="50">
        <f t="shared" si="1"/>
        <v>42.6</v>
      </c>
      <c r="N32" s="102">
        <f t="shared" si="8"/>
        <v>426</v>
      </c>
      <c r="O32" s="102">
        <f t="shared" si="9"/>
        <v>937.2</v>
      </c>
      <c r="P32" s="102">
        <f t="shared" si="10"/>
        <v>56.8</v>
      </c>
      <c r="Q32" s="103">
        <f t="shared" si="11"/>
        <v>1420</v>
      </c>
    </row>
    <row r="33" spans="1:17" s="56" customFormat="1" ht="25.55">
      <c r="A33" s="751">
        <v>17</v>
      </c>
      <c r="B33" s="583"/>
      <c r="C33" s="339" t="s">
        <v>918</v>
      </c>
      <c r="D33" s="336"/>
      <c r="E33" s="336" t="s">
        <v>884</v>
      </c>
      <c r="F33" s="752">
        <v>185</v>
      </c>
      <c r="G33" s="267">
        <v>0.2</v>
      </c>
      <c r="H33" s="266">
        <v>10</v>
      </c>
      <c r="I33" s="222">
        <f t="shared" si="12"/>
        <v>2</v>
      </c>
      <c r="J33" s="316"/>
      <c r="K33" s="316">
        <v>5.5</v>
      </c>
      <c r="L33" s="102">
        <f t="shared" si="7"/>
        <v>7.5</v>
      </c>
      <c r="M33" s="50">
        <f t="shared" si="1"/>
        <v>37</v>
      </c>
      <c r="N33" s="102">
        <f t="shared" si="8"/>
        <v>370</v>
      </c>
      <c r="O33" s="102">
        <f t="shared" si="9"/>
        <v>0</v>
      </c>
      <c r="P33" s="102">
        <f t="shared" si="10"/>
        <v>1017.5</v>
      </c>
      <c r="Q33" s="103">
        <f t="shared" si="11"/>
        <v>1387.5</v>
      </c>
    </row>
    <row r="34" spans="1:17" s="56" customFormat="1" ht="25.55">
      <c r="A34" s="751">
        <v>18</v>
      </c>
      <c r="B34" s="583"/>
      <c r="C34" s="340" t="s">
        <v>919</v>
      </c>
      <c r="D34" s="336"/>
      <c r="E34" s="336" t="s">
        <v>892</v>
      </c>
      <c r="F34" s="752">
        <v>1</v>
      </c>
      <c r="G34" s="267">
        <v>3.5</v>
      </c>
      <c r="H34" s="266">
        <v>10</v>
      </c>
      <c r="I34" s="222">
        <f t="shared" si="12"/>
        <v>35</v>
      </c>
      <c r="J34" s="316"/>
      <c r="K34" s="316">
        <v>2</v>
      </c>
      <c r="L34" s="102">
        <f t="shared" si="7"/>
        <v>37</v>
      </c>
      <c r="M34" s="50">
        <f t="shared" si="1"/>
        <v>3.5</v>
      </c>
      <c r="N34" s="102">
        <f t="shared" si="8"/>
        <v>35</v>
      </c>
      <c r="O34" s="102">
        <f t="shared" si="9"/>
        <v>0</v>
      </c>
      <c r="P34" s="102">
        <f t="shared" si="10"/>
        <v>2</v>
      </c>
      <c r="Q34" s="103">
        <f t="shared" si="11"/>
        <v>37</v>
      </c>
    </row>
    <row r="35" spans="1:17" s="56" customFormat="1" ht="25.55">
      <c r="A35" s="751">
        <v>19</v>
      </c>
      <c r="B35" s="583"/>
      <c r="C35" s="339" t="s">
        <v>920</v>
      </c>
      <c r="D35" s="336"/>
      <c r="E35" s="336" t="s">
        <v>892</v>
      </c>
      <c r="F35" s="752">
        <v>1</v>
      </c>
      <c r="G35" s="267">
        <v>3.5</v>
      </c>
      <c r="H35" s="266">
        <v>10</v>
      </c>
      <c r="I35" s="222">
        <f t="shared" si="12"/>
        <v>35</v>
      </c>
      <c r="J35" s="316"/>
      <c r="K35" s="316">
        <v>2</v>
      </c>
      <c r="L35" s="102">
        <f t="shared" si="7"/>
        <v>37</v>
      </c>
      <c r="M35" s="50">
        <f t="shared" si="1"/>
        <v>3.5</v>
      </c>
      <c r="N35" s="102">
        <f t="shared" si="8"/>
        <v>35</v>
      </c>
      <c r="O35" s="102">
        <f t="shared" si="9"/>
        <v>0</v>
      </c>
      <c r="P35" s="102">
        <f t="shared" si="10"/>
        <v>2</v>
      </c>
      <c r="Q35" s="103">
        <f t="shared" si="11"/>
        <v>37</v>
      </c>
    </row>
    <row r="36" spans="1:17" s="56" customFormat="1">
      <c r="A36" s="751">
        <v>20</v>
      </c>
      <c r="B36" s="583"/>
      <c r="C36" s="340" t="s">
        <v>921</v>
      </c>
      <c r="D36" s="336"/>
      <c r="E36" s="336" t="s">
        <v>111</v>
      </c>
      <c r="F36" s="753">
        <v>70.2</v>
      </c>
      <c r="G36" s="275">
        <f>IFERROR(ROUND(I36/H36,2),0)</f>
        <v>0</v>
      </c>
      <c r="H36" s="266"/>
      <c r="I36" s="316"/>
      <c r="J36" s="316"/>
      <c r="K36" s="316">
        <v>3.4</v>
      </c>
      <c r="L36" s="102">
        <f t="shared" si="7"/>
        <v>3.4</v>
      </c>
      <c r="M36" s="50">
        <f t="shared" si="1"/>
        <v>0</v>
      </c>
      <c r="N36" s="102">
        <f t="shared" si="8"/>
        <v>0</v>
      </c>
      <c r="O36" s="102">
        <f t="shared" si="9"/>
        <v>0</v>
      </c>
      <c r="P36" s="102">
        <f t="shared" si="10"/>
        <v>238.68</v>
      </c>
      <c r="Q36" s="103">
        <f t="shared" si="11"/>
        <v>238.68</v>
      </c>
    </row>
    <row r="37" spans="1:17" s="56" customFormat="1" ht="25.55">
      <c r="A37" s="751">
        <v>21</v>
      </c>
      <c r="B37" s="583"/>
      <c r="C37" s="339" t="s">
        <v>901</v>
      </c>
      <c r="D37" s="336"/>
      <c r="E37" s="272" t="s">
        <v>136</v>
      </c>
      <c r="F37" s="752">
        <v>1</v>
      </c>
      <c r="G37" s="275">
        <v>0.45</v>
      </c>
      <c r="H37" s="266">
        <v>10</v>
      </c>
      <c r="I37" s="222">
        <f>ROUND(G37*H37,2)</f>
        <v>4.5</v>
      </c>
      <c r="J37" s="316"/>
      <c r="K37" s="316">
        <v>0.08</v>
      </c>
      <c r="L37" s="102">
        <f t="shared" si="7"/>
        <v>4.58</v>
      </c>
      <c r="M37" s="50">
        <f t="shared" si="1"/>
        <v>0.45</v>
      </c>
      <c r="N37" s="102">
        <f t="shared" si="8"/>
        <v>4.5</v>
      </c>
      <c r="O37" s="102">
        <f t="shared" si="9"/>
        <v>0</v>
      </c>
      <c r="P37" s="102">
        <f t="shared" si="10"/>
        <v>0.08</v>
      </c>
      <c r="Q37" s="103">
        <f t="shared" si="11"/>
        <v>4.58</v>
      </c>
    </row>
    <row r="38" spans="1:17" s="56" customFormat="1" ht="25.55">
      <c r="A38" s="751">
        <v>22</v>
      </c>
      <c r="B38" s="583"/>
      <c r="C38" s="339" t="s">
        <v>904</v>
      </c>
      <c r="D38" s="336"/>
      <c r="E38" s="336" t="s">
        <v>111</v>
      </c>
      <c r="F38" s="753">
        <v>70.2</v>
      </c>
      <c r="G38" s="275">
        <f>IFERROR(ROUND(I38/H38,2),0)</f>
        <v>0</v>
      </c>
      <c r="H38" s="275">
        <f>IF(I38&gt;0,5,0)</f>
        <v>0</v>
      </c>
      <c r="I38" s="316"/>
      <c r="J38" s="316"/>
      <c r="K38" s="316">
        <v>4.2</v>
      </c>
      <c r="L38" s="102">
        <f t="shared" si="7"/>
        <v>4.2</v>
      </c>
      <c r="M38" s="50">
        <f t="shared" si="1"/>
        <v>0</v>
      </c>
      <c r="N38" s="102">
        <f t="shared" si="8"/>
        <v>0</v>
      </c>
      <c r="O38" s="102">
        <f t="shared" si="9"/>
        <v>0</v>
      </c>
      <c r="P38" s="102">
        <f t="shared" si="10"/>
        <v>294.83999999999997</v>
      </c>
      <c r="Q38" s="103">
        <f t="shared" si="11"/>
        <v>294.83999999999997</v>
      </c>
    </row>
    <row r="39" spans="1:17" s="56" customFormat="1" ht="25.55">
      <c r="A39" s="751">
        <v>23</v>
      </c>
      <c r="B39" s="583"/>
      <c r="C39" s="340" t="s">
        <v>922</v>
      </c>
      <c r="D39" s="310"/>
      <c r="E39" s="272" t="s">
        <v>136</v>
      </c>
      <c r="F39" s="752">
        <v>1</v>
      </c>
      <c r="G39" s="275">
        <f>IFERROR(ROUND(I39/H39,2),0)</f>
        <v>0</v>
      </c>
      <c r="H39" s="275">
        <f>IF(I39&gt;0,5,0)</f>
        <v>0</v>
      </c>
      <c r="I39" s="316"/>
      <c r="J39" s="316"/>
      <c r="K39" s="316">
        <v>90</v>
      </c>
      <c r="L39" s="102">
        <f t="shared" si="7"/>
        <v>90</v>
      </c>
      <c r="M39" s="50">
        <f t="shared" si="1"/>
        <v>0</v>
      </c>
      <c r="N39" s="102">
        <f t="shared" si="8"/>
        <v>0</v>
      </c>
      <c r="O39" s="102">
        <f t="shared" si="9"/>
        <v>0</v>
      </c>
      <c r="P39" s="102">
        <f t="shared" si="10"/>
        <v>90</v>
      </c>
      <c r="Q39" s="103">
        <f t="shared" si="11"/>
        <v>90</v>
      </c>
    </row>
    <row r="40" spans="1:17" s="56" customFormat="1">
      <c r="A40" s="751">
        <v>24</v>
      </c>
      <c r="B40" s="583"/>
      <c r="C40" s="339" t="s">
        <v>903</v>
      </c>
      <c r="D40" s="310"/>
      <c r="E40" s="272" t="s">
        <v>136</v>
      </c>
      <c r="F40" s="752">
        <v>1</v>
      </c>
      <c r="G40" s="275">
        <f>IFERROR(ROUND(I40/H40,2),0)</f>
        <v>0</v>
      </c>
      <c r="H40" s="275">
        <f>IF(I40&gt;0,5,0)</f>
        <v>0</v>
      </c>
      <c r="I40" s="316"/>
      <c r="J40" s="316"/>
      <c r="K40" s="316">
        <v>100</v>
      </c>
      <c r="L40" s="102">
        <f t="shared" si="7"/>
        <v>100</v>
      </c>
      <c r="M40" s="50">
        <f t="shared" si="1"/>
        <v>0</v>
      </c>
      <c r="N40" s="102">
        <f t="shared" si="8"/>
        <v>0</v>
      </c>
      <c r="O40" s="102">
        <f t="shared" si="9"/>
        <v>0</v>
      </c>
      <c r="P40" s="102">
        <f t="shared" si="10"/>
        <v>100</v>
      </c>
      <c r="Q40" s="103">
        <f t="shared" si="11"/>
        <v>100</v>
      </c>
    </row>
    <row r="41" spans="1:17">
      <c r="A41" s="225"/>
      <c r="B41" s="302"/>
      <c r="C41" s="227"/>
      <c r="D41" s="227"/>
      <c r="E41" s="228"/>
      <c r="F41" s="229"/>
      <c r="G41" s="229">
        <v>0</v>
      </c>
      <c r="H41" s="229">
        <v>0</v>
      </c>
      <c r="I41" s="230"/>
      <c r="J41" s="230"/>
      <c r="K41" s="229"/>
      <c r="L41" s="229"/>
      <c r="M41" s="229"/>
      <c r="N41" s="229"/>
      <c r="O41" s="229"/>
      <c r="P41" s="229"/>
      <c r="Q41" s="243"/>
    </row>
    <row r="42" spans="1:17" ht="15.05" customHeight="1">
      <c r="A42" s="206"/>
      <c r="B42" s="206"/>
      <c r="C42" s="951" t="s">
        <v>99</v>
      </c>
      <c r="D42" s="951"/>
      <c r="E42" s="952"/>
      <c r="F42" s="952"/>
      <c r="G42" s="952"/>
      <c r="H42" s="952"/>
      <c r="I42" s="952"/>
      <c r="J42" s="952"/>
      <c r="K42" s="952"/>
      <c r="L42" s="952"/>
      <c r="M42" s="208">
        <f>SUM(M13:M41)</f>
        <v>311.8</v>
      </c>
      <c r="N42" s="208">
        <f>SUM(N13:N41)</f>
        <v>3118</v>
      </c>
      <c r="O42" s="208">
        <f>SUM(O13:O41)</f>
        <v>3604.59</v>
      </c>
      <c r="P42" s="208">
        <f>SUM(P13:P41)</f>
        <v>2262.9299999999998</v>
      </c>
      <c r="Q42" s="208">
        <f>SUM(Q13:Q41)</f>
        <v>8985.52</v>
      </c>
    </row>
    <row r="43" spans="1:17" s="125" customFormat="1" collapsed="1">
      <c r="J43" s="146"/>
    </row>
    <row r="44" spans="1:17" s="122" customFormat="1" ht="12.8" customHeight="1">
      <c r="B44" s="147" t="s">
        <v>54</v>
      </c>
    </row>
    <row r="45" spans="1:17" s="122" customFormat="1" ht="45" customHeight="1">
      <c r="A45" s="926" t="str">
        <f>'3,1'!A53:H53</f>
        <v xml:space="preserve"> Būvuzņēmējam jādod pilna apjoma tendera cenu piedāvājums, ieskaitot palīgdarbus  un materiālus, kas nav uzrādīti tāmē, apjomu sarakstā un projektā, bet ir nepieciešami projektētā būvobjekta izbūvei un nodošanai ekspluatācijā.</v>
      </c>
      <c r="B45" s="926"/>
      <c r="C45" s="926"/>
      <c r="D45" s="926"/>
      <c r="E45" s="926"/>
      <c r="F45" s="926"/>
      <c r="G45" s="926"/>
      <c r="H45" s="926"/>
      <c r="I45" s="926"/>
      <c r="J45" s="926"/>
      <c r="K45" s="926"/>
      <c r="L45" s="926"/>
      <c r="M45" s="926"/>
      <c r="N45" s="926"/>
      <c r="O45" s="926"/>
      <c r="P45" s="926"/>
      <c r="Q45" s="926"/>
    </row>
    <row r="46" spans="1:17" s="122" customFormat="1" ht="69.75" customHeight="1">
      <c r="A46" s="925">
        <f>'3,1'!$A$54</f>
        <v>0</v>
      </c>
      <c r="B46" s="925"/>
      <c r="C46" s="925"/>
      <c r="D46" s="925"/>
      <c r="E46" s="925"/>
      <c r="F46" s="925"/>
      <c r="G46" s="925"/>
      <c r="H46" s="925"/>
      <c r="I46" s="925"/>
      <c r="J46" s="925"/>
      <c r="K46" s="925"/>
      <c r="L46" s="925"/>
      <c r="M46" s="925"/>
      <c r="N46" s="925"/>
      <c r="O46" s="925"/>
      <c r="P46" s="925"/>
      <c r="Q46" s="925"/>
    </row>
    <row r="47" spans="1:17" s="122" customFormat="1" ht="12.8" customHeight="1">
      <c r="B47" s="148"/>
    </row>
    <row r="48" spans="1:17" s="122" customFormat="1" ht="12.8" customHeight="1">
      <c r="B48" s="148"/>
    </row>
    <row r="49" spans="2:15" s="125" customFormat="1">
      <c r="B49" s="125" t="str">
        <f>'3,1'!B57</f>
        <v>Sastādīja:</v>
      </c>
      <c r="M49" s="157" t="str">
        <f>'3,1'!M57</f>
        <v>Pārbaudīja:</v>
      </c>
      <c r="N49" s="157"/>
      <c r="O49" s="157"/>
    </row>
    <row r="50" spans="2:15" s="125" customFormat="1">
      <c r="C50" s="164" t="str">
        <f>'3,1'!C58</f>
        <v>Arnis Gailītis</v>
      </c>
      <c r="D50" s="191"/>
      <c r="M50" s="164"/>
      <c r="N50" s="922" t="str">
        <f>'3,1'!N58</f>
        <v>Dzintra Cīrule</v>
      </c>
      <c r="O50" s="922"/>
    </row>
    <row r="51" spans="2:15" s="125" customFormat="1">
      <c r="C51" s="165" t="str">
        <f>'3,1'!C59</f>
        <v>Sertifikāta Nr.20-5643</v>
      </c>
      <c r="D51" s="192"/>
      <c r="M51" s="165"/>
      <c r="N51" s="923" t="str">
        <f>'3,1'!N59</f>
        <v>Sertifikāta Nr.10-0363</v>
      </c>
      <c r="O51" s="923"/>
    </row>
    <row r="52" spans="2:15" s="125" customFormat="1" collapsed="1">
      <c r="B52" s="146">
        <f>'3,1'!B60</f>
        <v>0</v>
      </c>
      <c r="C52" s="125">
        <f>'3,1'!C60</f>
        <v>0</v>
      </c>
      <c r="G52" s="146"/>
      <c r="H52" s="146"/>
      <c r="N52" s="125">
        <f>'3,1'!N60</f>
        <v>0</v>
      </c>
      <c r="O52" s="125">
        <f>'3,1'!O60</f>
        <v>0</v>
      </c>
    </row>
  </sheetData>
  <mergeCells count="18">
    <mergeCell ref="N51:O51"/>
    <mergeCell ref="G11:L11"/>
    <mergeCell ref="M11:Q11"/>
    <mergeCell ref="C42:L42"/>
    <mergeCell ref="N50:O50"/>
    <mergeCell ref="A46:Q46"/>
    <mergeCell ref="A45:Q45"/>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8"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S55"/>
  <sheetViews>
    <sheetView showZeros="0" view="pageBreakPreview" topLeftCell="A34" zoomScale="90" zoomScaleNormal="100" zoomScaleSheetLayoutView="90" workbookViewId="0">
      <selection activeCell="A44" sqref="A44:XFD44"/>
    </sheetView>
  </sheetViews>
  <sheetFormatPr defaultColWidth="9.125" defaultRowHeight="14.4"/>
  <cols>
    <col min="1" max="1" width="9" style="19" customWidth="1"/>
    <col min="2" max="2" width="10.625" style="19" customWidth="1"/>
    <col min="3" max="3" width="40.25" style="19" customWidth="1"/>
    <col min="4" max="4" width="21.75" style="19" customWidth="1"/>
    <col min="5" max="5" width="8.125" style="19" customWidth="1"/>
    <col min="6" max="9" width="9.125" style="19"/>
    <col min="10" max="10" width="9.125" style="56"/>
    <col min="11" max="12" width="9.125" style="19"/>
    <col min="13" max="13" width="13.375" style="19" customWidth="1"/>
    <col min="14" max="14" width="12.25" style="19" customWidth="1"/>
    <col min="15" max="15" width="12.75" style="19" customWidth="1"/>
    <col min="16" max="16" width="11.625" style="19" customWidth="1"/>
    <col min="17" max="17" width="13.625" style="19" customWidth="1"/>
    <col min="18" max="16384" width="9.125" style="19"/>
  </cols>
  <sheetData>
    <row r="1" spans="1:19" s="24" customFormat="1">
      <c r="F1" s="21"/>
      <c r="G1" s="21"/>
      <c r="H1" s="181" t="s">
        <v>92</v>
      </c>
      <c r="I1" s="121" t="str">
        <f>kops3!$B$23</f>
        <v>3,3</v>
      </c>
      <c r="J1" s="53"/>
    </row>
    <row r="2" spans="1:19" s="24" customFormat="1">
      <c r="A2" s="919" t="str">
        <f>C13</f>
        <v>Ārējā lietus ūdens kanalizācija</v>
      </c>
      <c r="B2" s="919"/>
      <c r="C2" s="919"/>
      <c r="D2" s="919"/>
      <c r="E2" s="919"/>
      <c r="F2" s="919"/>
      <c r="G2" s="919"/>
      <c r="H2" s="919"/>
      <c r="I2" s="919"/>
      <c r="J2" s="919"/>
      <c r="K2" s="919"/>
      <c r="L2" s="919"/>
      <c r="M2" s="919"/>
      <c r="N2" s="919"/>
      <c r="O2" s="919"/>
      <c r="P2" s="919"/>
      <c r="Q2" s="919"/>
    </row>
    <row r="3" spans="1:19">
      <c r="A3" s="20"/>
      <c r="B3" s="20"/>
      <c r="C3" s="20" t="s">
        <v>11</v>
      </c>
      <c r="D3" s="20"/>
      <c r="E3" s="921" t="str">
        <f>Koptame!C11</f>
        <v>Ražošanas ēka</v>
      </c>
      <c r="F3" s="921"/>
      <c r="G3" s="921"/>
      <c r="H3" s="921"/>
      <c r="I3" s="921"/>
      <c r="J3" s="921"/>
      <c r="K3" s="921"/>
      <c r="L3" s="921"/>
      <c r="M3" s="921"/>
      <c r="N3" s="921"/>
      <c r="O3" s="921"/>
      <c r="P3" s="921"/>
      <c r="Q3" s="921"/>
    </row>
    <row r="4" spans="1:19">
      <c r="A4" s="20"/>
      <c r="B4" s="20"/>
      <c r="C4" s="20" t="s">
        <v>12</v>
      </c>
      <c r="D4" s="20"/>
      <c r="E4" s="921" t="str">
        <f>Koptame!C12</f>
        <v>Ražošanas ēkas Nr.7 jaunbūve</v>
      </c>
      <c r="F4" s="921"/>
      <c r="G4" s="921"/>
      <c r="H4" s="921"/>
      <c r="I4" s="921"/>
      <c r="J4" s="921"/>
      <c r="K4" s="921"/>
      <c r="L4" s="921"/>
      <c r="M4" s="921"/>
      <c r="N4" s="921"/>
      <c r="O4" s="921"/>
      <c r="P4" s="921"/>
      <c r="Q4" s="921"/>
    </row>
    <row r="5" spans="1:19">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9">
      <c r="A6" s="20"/>
      <c r="B6" s="20"/>
      <c r="C6" s="20" t="str">
        <f>Koptame!B14</f>
        <v>Pasūtījuma Nr.</v>
      </c>
      <c r="D6" s="20"/>
      <c r="E6" s="22" t="str">
        <f>Koptame!C14</f>
        <v>2016-04</v>
      </c>
      <c r="F6" s="43"/>
      <c r="G6" s="43"/>
      <c r="H6" s="43"/>
      <c r="I6" s="43"/>
      <c r="J6" s="54"/>
      <c r="K6" s="43"/>
      <c r="L6" s="43"/>
      <c r="M6" s="43"/>
      <c r="N6" s="43"/>
      <c r="O6" s="43"/>
      <c r="P6" s="43"/>
      <c r="Q6" s="25"/>
    </row>
    <row r="7" spans="1:19">
      <c r="A7" s="3" t="str">
        <f>Koptame!B17</f>
        <v>Tāme sastādīta 2018.gada tirgus cenās, pamatojoties uz SIA „Baltex Group” būvprojekta rasējumiem un darbu apjomiem</v>
      </c>
      <c r="B7" s="46"/>
      <c r="E7" s="22"/>
      <c r="F7" s="22"/>
      <c r="G7" s="22"/>
      <c r="H7" s="22"/>
      <c r="I7" s="22"/>
      <c r="J7" s="55"/>
      <c r="K7" s="22"/>
      <c r="L7" s="43"/>
      <c r="M7" s="43"/>
      <c r="N7" s="43"/>
      <c r="O7" s="43"/>
      <c r="P7" s="20" t="s">
        <v>87</v>
      </c>
      <c r="Q7" s="26">
        <f>Q45</f>
        <v>77648.73</v>
      </c>
    </row>
    <row r="8" spans="1:19">
      <c r="A8" s="23"/>
      <c r="B8" s="23"/>
      <c r="E8" s="27"/>
      <c r="F8" s="43"/>
      <c r="G8" s="43"/>
      <c r="H8" s="43"/>
      <c r="I8" s="43"/>
      <c r="J8" s="54"/>
      <c r="K8" s="43"/>
      <c r="L8" s="43"/>
      <c r="O8" s="43"/>
      <c r="P8" s="43"/>
      <c r="Q8" s="25"/>
    </row>
    <row r="9" spans="1:19" ht="15.05" customHeight="1">
      <c r="A9" s="45"/>
      <c r="B9" s="45"/>
      <c r="K9" s="44"/>
      <c r="L9" s="44"/>
      <c r="M9" s="920" t="str">
        <f>Koptame!D16</f>
        <v>Tāme sastādīta:  2018.gada 19. februāris</v>
      </c>
      <c r="N9" s="920"/>
      <c r="O9" s="920"/>
      <c r="P9" s="920"/>
      <c r="Q9" s="44"/>
    </row>
    <row r="10" spans="1:19" ht="15.05">
      <c r="A10" s="45"/>
      <c r="B10" s="45"/>
    </row>
    <row r="11" spans="1:19"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9"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9" ht="15.05">
      <c r="A13" s="209"/>
      <c r="B13" s="210">
        <v>0</v>
      </c>
      <c r="C13" s="949" t="str">
        <f>kops3!C23</f>
        <v>Ārējā lietus ūdens kanalizācija</v>
      </c>
      <c r="D13" s="950"/>
      <c r="E13" s="212"/>
      <c r="F13" s="213"/>
      <c r="G13" s="214">
        <v>0</v>
      </c>
      <c r="H13" s="215">
        <v>0</v>
      </c>
      <c r="I13" s="216">
        <v>0</v>
      </c>
      <c r="J13" s="215">
        <v>0</v>
      </c>
      <c r="K13" s="215">
        <v>0</v>
      </c>
      <c r="L13" s="215">
        <f t="shared" ref="L13" si="0">SUM(I13:K13)</f>
        <v>0</v>
      </c>
      <c r="M13" s="214">
        <f t="shared" ref="M13:M43" si="1">ROUND(G13*F13,2)</f>
        <v>0</v>
      </c>
      <c r="N13" s="215">
        <f t="shared" ref="N13:N43" si="2">ROUND(I13*F13,2)</f>
        <v>0</v>
      </c>
      <c r="O13" s="215">
        <f t="shared" ref="O13:O43" si="3">ROUND(J13*F13,2)</f>
        <v>0</v>
      </c>
      <c r="P13" s="215">
        <f t="shared" ref="P13:P43" si="4">ROUND(K13*F13,2)</f>
        <v>0</v>
      </c>
      <c r="Q13" s="244">
        <f t="shared" ref="Q13:Q43" si="5">SUM(N13:P13)</f>
        <v>0</v>
      </c>
    </row>
    <row r="14" spans="1:19" s="56" customFormat="1">
      <c r="A14" s="279"/>
      <c r="B14" s="583"/>
      <c r="C14" s="347" t="s">
        <v>923</v>
      </c>
      <c r="D14" s="347"/>
      <c r="E14" s="754"/>
      <c r="F14" s="754"/>
      <c r="G14" s="275">
        <f>IFERROR(ROUND(I14/H14,2),0)</f>
        <v>0</v>
      </c>
      <c r="H14" s="275">
        <f>IF(I14&gt;0,5,0)</f>
        <v>0</v>
      </c>
      <c r="I14" s="316"/>
      <c r="J14" s="316"/>
      <c r="K14" s="316"/>
      <c r="L14" s="275">
        <f t="shared" ref="L14:L43" si="6">SUM(I14:K14)</f>
        <v>0</v>
      </c>
      <c r="M14" s="275">
        <f t="shared" si="1"/>
        <v>0</v>
      </c>
      <c r="N14" s="275">
        <f t="shared" si="2"/>
        <v>0</v>
      </c>
      <c r="O14" s="275">
        <f t="shared" si="3"/>
        <v>0</v>
      </c>
      <c r="P14" s="275">
        <f t="shared" si="4"/>
        <v>0</v>
      </c>
      <c r="Q14" s="286">
        <f t="shared" si="5"/>
        <v>0</v>
      </c>
      <c r="S14" s="97"/>
    </row>
    <row r="15" spans="1:19" s="56" customFormat="1" ht="25.55">
      <c r="A15" s="261">
        <v>1</v>
      </c>
      <c r="B15" s="583"/>
      <c r="C15" s="343" t="s">
        <v>924</v>
      </c>
      <c r="D15" s="310" t="s">
        <v>925</v>
      </c>
      <c r="E15" s="264" t="s">
        <v>111</v>
      </c>
      <c r="F15" s="264">
        <v>9.6999999999999993</v>
      </c>
      <c r="G15" s="275"/>
      <c r="H15" s="266"/>
      <c r="I15" s="222"/>
      <c r="J15" s="316">
        <v>12.93</v>
      </c>
      <c r="K15" s="316"/>
      <c r="L15" s="222">
        <f t="shared" si="6"/>
        <v>12.93</v>
      </c>
      <c r="M15" s="222">
        <f t="shared" si="1"/>
        <v>0</v>
      </c>
      <c r="N15" s="222">
        <f t="shared" si="2"/>
        <v>0</v>
      </c>
      <c r="O15" s="222">
        <f t="shared" si="3"/>
        <v>125.42</v>
      </c>
      <c r="P15" s="222">
        <f t="shared" si="4"/>
        <v>0</v>
      </c>
      <c r="Q15" s="250">
        <f t="shared" si="5"/>
        <v>125.42</v>
      </c>
      <c r="S15" s="97"/>
    </row>
    <row r="16" spans="1:19" s="56" customFormat="1" ht="25.55">
      <c r="A16" s="261">
        <v>2</v>
      </c>
      <c r="B16" s="583"/>
      <c r="C16" s="339" t="s">
        <v>924</v>
      </c>
      <c r="D16" s="310" t="s">
        <v>926</v>
      </c>
      <c r="E16" s="264" t="s">
        <v>111</v>
      </c>
      <c r="F16" s="264">
        <v>493.2</v>
      </c>
      <c r="G16" s="275"/>
      <c r="H16" s="266"/>
      <c r="I16" s="222"/>
      <c r="J16" s="316">
        <v>5.9</v>
      </c>
      <c r="K16" s="316"/>
      <c r="L16" s="222">
        <f t="shared" si="6"/>
        <v>5.9</v>
      </c>
      <c r="M16" s="222">
        <f t="shared" si="1"/>
        <v>0</v>
      </c>
      <c r="N16" s="222">
        <f t="shared" si="2"/>
        <v>0</v>
      </c>
      <c r="O16" s="222">
        <f t="shared" si="3"/>
        <v>2909.88</v>
      </c>
      <c r="P16" s="222">
        <f t="shared" si="4"/>
        <v>0</v>
      </c>
      <c r="Q16" s="250">
        <f t="shared" si="5"/>
        <v>2909.88</v>
      </c>
      <c r="S16" s="97"/>
    </row>
    <row r="17" spans="1:19" s="56" customFormat="1" ht="25.55">
      <c r="A17" s="261">
        <v>3</v>
      </c>
      <c r="B17" s="583"/>
      <c r="C17" s="340" t="s">
        <v>924</v>
      </c>
      <c r="D17" s="310" t="s">
        <v>867</v>
      </c>
      <c r="E17" s="264" t="s">
        <v>111</v>
      </c>
      <c r="F17" s="264">
        <v>190.5</v>
      </c>
      <c r="G17" s="275"/>
      <c r="H17" s="266"/>
      <c r="I17" s="222"/>
      <c r="J17" s="316">
        <v>5.17</v>
      </c>
      <c r="K17" s="316"/>
      <c r="L17" s="222">
        <f t="shared" si="6"/>
        <v>5.17</v>
      </c>
      <c r="M17" s="222">
        <f t="shared" si="1"/>
        <v>0</v>
      </c>
      <c r="N17" s="222">
        <f t="shared" si="2"/>
        <v>0</v>
      </c>
      <c r="O17" s="222">
        <f t="shared" si="3"/>
        <v>984.89</v>
      </c>
      <c r="P17" s="222">
        <f t="shared" si="4"/>
        <v>0</v>
      </c>
      <c r="Q17" s="250">
        <f t="shared" si="5"/>
        <v>984.89</v>
      </c>
      <c r="S17" s="97"/>
    </row>
    <row r="18" spans="1:19" s="56" customFormat="1" ht="62.85">
      <c r="A18" s="261">
        <v>4</v>
      </c>
      <c r="B18" s="583"/>
      <c r="C18" s="309" t="s">
        <v>927</v>
      </c>
      <c r="D18" s="264" t="s">
        <v>910</v>
      </c>
      <c r="E18" s="264" t="s">
        <v>136</v>
      </c>
      <c r="F18" s="264">
        <v>2</v>
      </c>
      <c r="G18" s="275"/>
      <c r="H18" s="266"/>
      <c r="I18" s="222"/>
      <c r="J18" s="316">
        <v>397.78</v>
      </c>
      <c r="K18" s="222"/>
      <c r="L18" s="222">
        <f t="shared" si="6"/>
        <v>397.78</v>
      </c>
      <c r="M18" s="222">
        <f t="shared" si="1"/>
        <v>0</v>
      </c>
      <c r="N18" s="222">
        <f t="shared" si="2"/>
        <v>0</v>
      </c>
      <c r="O18" s="222">
        <f t="shared" si="3"/>
        <v>795.56</v>
      </c>
      <c r="P18" s="222">
        <f t="shared" si="4"/>
        <v>0</v>
      </c>
      <c r="Q18" s="250">
        <f t="shared" si="5"/>
        <v>795.56</v>
      </c>
      <c r="S18" s="97"/>
    </row>
    <row r="19" spans="1:19" s="56" customFormat="1" ht="62.85">
      <c r="A19" s="261">
        <v>5</v>
      </c>
      <c r="B19" s="583"/>
      <c r="C19" s="309" t="s">
        <v>928</v>
      </c>
      <c r="D19" s="264" t="s">
        <v>929</v>
      </c>
      <c r="E19" s="264" t="s">
        <v>136</v>
      </c>
      <c r="F19" s="264">
        <v>21</v>
      </c>
      <c r="G19" s="275"/>
      <c r="H19" s="266"/>
      <c r="I19" s="222"/>
      <c r="J19" s="316">
        <v>159.72</v>
      </c>
      <c r="K19" s="222"/>
      <c r="L19" s="222">
        <f t="shared" si="6"/>
        <v>159.72</v>
      </c>
      <c r="M19" s="222">
        <f t="shared" si="1"/>
        <v>0</v>
      </c>
      <c r="N19" s="222">
        <f t="shared" si="2"/>
        <v>0</v>
      </c>
      <c r="O19" s="222">
        <f t="shared" si="3"/>
        <v>3354.12</v>
      </c>
      <c r="P19" s="222">
        <f t="shared" si="4"/>
        <v>0</v>
      </c>
      <c r="Q19" s="250">
        <f t="shared" si="5"/>
        <v>3354.12</v>
      </c>
      <c r="S19" s="97"/>
    </row>
    <row r="20" spans="1:19" s="56" customFormat="1" ht="62.85">
      <c r="A20" s="261">
        <v>6</v>
      </c>
      <c r="B20" s="583"/>
      <c r="C20" s="309" t="s">
        <v>930</v>
      </c>
      <c r="D20" s="264" t="s">
        <v>929</v>
      </c>
      <c r="E20" s="264" t="s">
        <v>136</v>
      </c>
      <c r="F20" s="264">
        <v>6</v>
      </c>
      <c r="G20" s="275"/>
      <c r="H20" s="266"/>
      <c r="I20" s="222"/>
      <c r="J20" s="316">
        <v>169.72</v>
      </c>
      <c r="K20" s="222"/>
      <c r="L20" s="222">
        <f t="shared" si="6"/>
        <v>169.72</v>
      </c>
      <c r="M20" s="222">
        <f t="shared" si="1"/>
        <v>0</v>
      </c>
      <c r="N20" s="222">
        <f t="shared" si="2"/>
        <v>0</v>
      </c>
      <c r="O20" s="222">
        <f t="shared" si="3"/>
        <v>1018.32</v>
      </c>
      <c r="P20" s="222">
        <f t="shared" si="4"/>
        <v>0</v>
      </c>
      <c r="Q20" s="250">
        <f t="shared" si="5"/>
        <v>1018.32</v>
      </c>
      <c r="S20" s="97"/>
    </row>
    <row r="21" spans="1:19" s="56" customFormat="1" ht="50.4">
      <c r="A21" s="261">
        <v>7</v>
      </c>
      <c r="B21" s="583"/>
      <c r="C21" s="309" t="s">
        <v>931</v>
      </c>
      <c r="D21" s="264" t="s">
        <v>929</v>
      </c>
      <c r="E21" s="264" t="s">
        <v>136</v>
      </c>
      <c r="F21" s="264">
        <v>1</v>
      </c>
      <c r="G21" s="275"/>
      <c r="H21" s="266"/>
      <c r="I21" s="222"/>
      <c r="J21" s="316">
        <v>142.36000000000001</v>
      </c>
      <c r="K21" s="222"/>
      <c r="L21" s="222">
        <f t="shared" si="6"/>
        <v>142.36000000000001</v>
      </c>
      <c r="M21" s="222">
        <f t="shared" si="1"/>
        <v>0</v>
      </c>
      <c r="N21" s="222">
        <f t="shared" si="2"/>
        <v>0</v>
      </c>
      <c r="O21" s="222">
        <f t="shared" si="3"/>
        <v>142.36000000000001</v>
      </c>
      <c r="P21" s="222">
        <f t="shared" si="4"/>
        <v>0</v>
      </c>
      <c r="Q21" s="250">
        <f t="shared" si="5"/>
        <v>142.36000000000001</v>
      </c>
      <c r="S21" s="97"/>
    </row>
    <row r="22" spans="1:19" s="56" customFormat="1" ht="62.85">
      <c r="A22" s="261">
        <v>8</v>
      </c>
      <c r="B22" s="583"/>
      <c r="C22" s="309" t="s">
        <v>932</v>
      </c>
      <c r="D22" s="264" t="s">
        <v>329</v>
      </c>
      <c r="E22" s="264" t="s">
        <v>136</v>
      </c>
      <c r="F22" s="264">
        <v>3</v>
      </c>
      <c r="G22" s="275"/>
      <c r="H22" s="266"/>
      <c r="I22" s="222"/>
      <c r="J22" s="316">
        <v>127.75</v>
      </c>
      <c r="K22" s="222"/>
      <c r="L22" s="222">
        <f t="shared" si="6"/>
        <v>127.75</v>
      </c>
      <c r="M22" s="222">
        <f t="shared" si="1"/>
        <v>0</v>
      </c>
      <c r="N22" s="222">
        <f t="shared" si="2"/>
        <v>0</v>
      </c>
      <c r="O22" s="222">
        <f t="shared" si="3"/>
        <v>383.25</v>
      </c>
      <c r="P22" s="222">
        <f t="shared" si="4"/>
        <v>0</v>
      </c>
      <c r="Q22" s="250">
        <f t="shared" si="5"/>
        <v>383.25</v>
      </c>
      <c r="S22" s="97"/>
    </row>
    <row r="23" spans="1:19" s="56" customFormat="1" ht="75.3">
      <c r="A23" s="261">
        <v>9</v>
      </c>
      <c r="B23" s="583"/>
      <c r="C23" s="309" t="s">
        <v>933</v>
      </c>
      <c r="D23" s="264" t="s">
        <v>929</v>
      </c>
      <c r="E23" s="264" t="s">
        <v>136</v>
      </c>
      <c r="F23" s="264">
        <v>14</v>
      </c>
      <c r="G23" s="275"/>
      <c r="H23" s="275"/>
      <c r="I23" s="316"/>
      <c r="J23" s="316">
        <v>250</v>
      </c>
      <c r="K23" s="316"/>
      <c r="L23" s="222">
        <f t="shared" si="6"/>
        <v>250</v>
      </c>
      <c r="M23" s="222">
        <f t="shared" si="1"/>
        <v>0</v>
      </c>
      <c r="N23" s="222">
        <f t="shared" si="2"/>
        <v>0</v>
      </c>
      <c r="O23" s="222">
        <f t="shared" si="3"/>
        <v>3500</v>
      </c>
      <c r="P23" s="222">
        <f t="shared" si="4"/>
        <v>0</v>
      </c>
      <c r="Q23" s="250">
        <f t="shared" si="5"/>
        <v>3500</v>
      </c>
      <c r="S23" s="97"/>
    </row>
    <row r="24" spans="1:19" s="56" customFormat="1">
      <c r="A24" s="261">
        <v>10</v>
      </c>
      <c r="B24" s="583"/>
      <c r="C24" s="343" t="s">
        <v>934</v>
      </c>
      <c r="D24" s="336" t="s">
        <v>867</v>
      </c>
      <c r="E24" s="272" t="s">
        <v>118</v>
      </c>
      <c r="F24" s="264">
        <v>15</v>
      </c>
      <c r="G24" s="275"/>
      <c r="H24" s="275"/>
      <c r="I24" s="316"/>
      <c r="J24" s="316">
        <v>7.5</v>
      </c>
      <c r="K24" s="316"/>
      <c r="L24" s="222">
        <f t="shared" si="6"/>
        <v>7.5</v>
      </c>
      <c r="M24" s="222">
        <f t="shared" si="1"/>
        <v>0</v>
      </c>
      <c r="N24" s="222">
        <f t="shared" si="2"/>
        <v>0</v>
      </c>
      <c r="O24" s="222">
        <f t="shared" si="3"/>
        <v>112.5</v>
      </c>
      <c r="P24" s="222">
        <f t="shared" si="4"/>
        <v>0</v>
      </c>
      <c r="Q24" s="250">
        <f t="shared" si="5"/>
        <v>112.5</v>
      </c>
      <c r="S24" s="97"/>
    </row>
    <row r="25" spans="1:19" s="56" customFormat="1">
      <c r="A25" s="261">
        <v>11</v>
      </c>
      <c r="B25" s="583"/>
      <c r="C25" s="340" t="s">
        <v>912</v>
      </c>
      <c r="D25" s="310"/>
      <c r="E25" s="264" t="s">
        <v>136</v>
      </c>
      <c r="F25" s="264">
        <v>1</v>
      </c>
      <c r="G25" s="275"/>
      <c r="H25" s="275"/>
      <c r="I25" s="316"/>
      <c r="J25" s="316">
        <v>60</v>
      </c>
      <c r="K25" s="316"/>
      <c r="L25" s="222">
        <f t="shared" si="6"/>
        <v>60</v>
      </c>
      <c r="M25" s="222">
        <f t="shared" si="1"/>
        <v>0</v>
      </c>
      <c r="N25" s="222">
        <f t="shared" si="2"/>
        <v>0</v>
      </c>
      <c r="O25" s="222">
        <f t="shared" si="3"/>
        <v>60</v>
      </c>
      <c r="P25" s="222">
        <f t="shared" si="4"/>
        <v>0</v>
      </c>
      <c r="Q25" s="250">
        <f t="shared" si="5"/>
        <v>60</v>
      </c>
      <c r="S25" s="97"/>
    </row>
    <row r="26" spans="1:19" s="56" customFormat="1">
      <c r="A26" s="261">
        <v>12</v>
      </c>
      <c r="B26" s="583"/>
      <c r="C26" s="340" t="s">
        <v>913</v>
      </c>
      <c r="D26" s="336" t="s">
        <v>883</v>
      </c>
      <c r="E26" s="272" t="s">
        <v>884</v>
      </c>
      <c r="F26" s="264">
        <v>105</v>
      </c>
      <c r="G26" s="275"/>
      <c r="H26" s="275"/>
      <c r="I26" s="222"/>
      <c r="J26" s="316">
        <v>6.6</v>
      </c>
      <c r="K26" s="316"/>
      <c r="L26" s="222">
        <f t="shared" si="6"/>
        <v>6.6</v>
      </c>
      <c r="M26" s="222">
        <f t="shared" si="1"/>
        <v>0</v>
      </c>
      <c r="N26" s="222">
        <f t="shared" si="2"/>
        <v>0</v>
      </c>
      <c r="O26" s="222">
        <f t="shared" si="3"/>
        <v>693</v>
      </c>
      <c r="P26" s="222">
        <f t="shared" si="4"/>
        <v>0</v>
      </c>
      <c r="Q26" s="250">
        <f t="shared" si="5"/>
        <v>693</v>
      </c>
      <c r="S26" s="97"/>
    </row>
    <row r="27" spans="1:19" s="56" customFormat="1">
      <c r="A27" s="261">
        <v>13</v>
      </c>
      <c r="B27" s="583"/>
      <c r="C27" s="340" t="s">
        <v>885</v>
      </c>
      <c r="D27" s="336" t="s">
        <v>886</v>
      </c>
      <c r="E27" s="272" t="s">
        <v>884</v>
      </c>
      <c r="F27" s="264">
        <v>326</v>
      </c>
      <c r="G27" s="275"/>
      <c r="H27" s="275"/>
      <c r="I27" s="222"/>
      <c r="J27" s="316">
        <v>6.6</v>
      </c>
      <c r="K27" s="316"/>
      <c r="L27" s="222">
        <f t="shared" si="6"/>
        <v>6.6</v>
      </c>
      <c r="M27" s="222">
        <f t="shared" si="1"/>
        <v>0</v>
      </c>
      <c r="N27" s="222">
        <f t="shared" si="2"/>
        <v>0</v>
      </c>
      <c r="O27" s="222">
        <f t="shared" si="3"/>
        <v>2151.6</v>
      </c>
      <c r="P27" s="222">
        <f t="shared" si="4"/>
        <v>0</v>
      </c>
      <c r="Q27" s="250">
        <f t="shared" si="5"/>
        <v>2151.6</v>
      </c>
      <c r="S27" s="97"/>
    </row>
    <row r="28" spans="1:19" s="56" customFormat="1" ht="25.55">
      <c r="A28" s="261">
        <v>14</v>
      </c>
      <c r="B28" s="583"/>
      <c r="C28" s="343" t="s">
        <v>887</v>
      </c>
      <c r="D28" s="336"/>
      <c r="E28" s="264" t="s">
        <v>884</v>
      </c>
      <c r="F28" s="264">
        <v>1119</v>
      </c>
      <c r="G28" s="275">
        <f>IFERROR(ROUND(I28/H28,2),0)</f>
        <v>0</v>
      </c>
      <c r="H28" s="275">
        <f>IF(I28&gt;0,5,0)</f>
        <v>0</v>
      </c>
      <c r="I28" s="316"/>
      <c r="J28" s="316">
        <v>6.6</v>
      </c>
      <c r="K28" s="316"/>
      <c r="L28" s="222">
        <f t="shared" si="6"/>
        <v>6.6</v>
      </c>
      <c r="M28" s="222">
        <f t="shared" si="1"/>
        <v>0</v>
      </c>
      <c r="N28" s="222">
        <f t="shared" si="2"/>
        <v>0</v>
      </c>
      <c r="O28" s="222">
        <f t="shared" si="3"/>
        <v>7385.4</v>
      </c>
      <c r="P28" s="222">
        <f t="shared" si="4"/>
        <v>0</v>
      </c>
      <c r="Q28" s="250">
        <f t="shared" si="5"/>
        <v>7385.4</v>
      </c>
      <c r="S28" s="97"/>
    </row>
    <row r="29" spans="1:19" s="56" customFormat="1">
      <c r="A29" s="279"/>
      <c r="B29" s="583"/>
      <c r="C29" s="347" t="s">
        <v>935</v>
      </c>
      <c r="D29" s="347"/>
      <c r="E29" s="754"/>
      <c r="F29" s="754"/>
      <c r="G29" s="275"/>
      <c r="H29" s="275"/>
      <c r="I29" s="316"/>
      <c r="J29" s="316"/>
      <c r="K29" s="316"/>
      <c r="L29" s="222">
        <f t="shared" si="6"/>
        <v>0</v>
      </c>
      <c r="M29" s="222">
        <f t="shared" si="1"/>
        <v>0</v>
      </c>
      <c r="N29" s="222">
        <f t="shared" si="2"/>
        <v>0</v>
      </c>
      <c r="O29" s="222">
        <f t="shared" si="3"/>
        <v>0</v>
      </c>
      <c r="P29" s="222">
        <f t="shared" si="4"/>
        <v>0</v>
      </c>
      <c r="Q29" s="250">
        <f t="shared" si="5"/>
        <v>0</v>
      </c>
      <c r="S29" s="97"/>
    </row>
    <row r="30" spans="1:19" s="56" customFormat="1">
      <c r="A30" s="261">
        <v>15</v>
      </c>
      <c r="B30" s="583"/>
      <c r="C30" s="339" t="s">
        <v>889</v>
      </c>
      <c r="D30" s="344"/>
      <c r="E30" s="264" t="s">
        <v>111</v>
      </c>
      <c r="F30" s="755" t="s">
        <v>1695</v>
      </c>
      <c r="G30" s="275">
        <v>0.3</v>
      </c>
      <c r="H30" s="266">
        <v>10</v>
      </c>
      <c r="I30" s="222">
        <f t="shared" ref="I30:I38" si="7">ROUND(G30*H30,2)</f>
        <v>3</v>
      </c>
      <c r="J30" s="316"/>
      <c r="K30" s="222">
        <v>0.2</v>
      </c>
      <c r="L30" s="275">
        <f t="shared" si="6"/>
        <v>3.2</v>
      </c>
      <c r="M30" s="275">
        <f t="shared" si="1"/>
        <v>202.62</v>
      </c>
      <c r="N30" s="275">
        <f t="shared" si="2"/>
        <v>2026.2</v>
      </c>
      <c r="O30" s="275">
        <f t="shared" si="3"/>
        <v>0</v>
      </c>
      <c r="P30" s="275">
        <f t="shared" si="4"/>
        <v>135.08000000000001</v>
      </c>
      <c r="Q30" s="286">
        <f t="shared" si="5"/>
        <v>2161.2800000000002</v>
      </c>
      <c r="S30" s="97"/>
    </row>
    <row r="31" spans="1:19" s="56" customFormat="1">
      <c r="A31" s="261">
        <v>16</v>
      </c>
      <c r="B31" s="583"/>
      <c r="C31" s="340" t="s">
        <v>915</v>
      </c>
      <c r="D31" s="344"/>
      <c r="E31" s="264" t="s">
        <v>111</v>
      </c>
      <c r="F31" s="755" t="s">
        <v>1695</v>
      </c>
      <c r="G31" s="275">
        <v>1.6</v>
      </c>
      <c r="H31" s="266">
        <v>10</v>
      </c>
      <c r="I31" s="222">
        <f t="shared" si="7"/>
        <v>16</v>
      </c>
      <c r="J31" s="316"/>
      <c r="K31" s="316">
        <v>0.2</v>
      </c>
      <c r="L31" s="222">
        <f t="shared" si="6"/>
        <v>16.2</v>
      </c>
      <c r="M31" s="222">
        <f t="shared" si="1"/>
        <v>1080.6400000000001</v>
      </c>
      <c r="N31" s="222">
        <f t="shared" si="2"/>
        <v>10806.4</v>
      </c>
      <c r="O31" s="222">
        <f t="shared" si="3"/>
        <v>0</v>
      </c>
      <c r="P31" s="222">
        <f t="shared" si="4"/>
        <v>135.08000000000001</v>
      </c>
      <c r="Q31" s="250">
        <f t="shared" si="5"/>
        <v>10941.48</v>
      </c>
      <c r="S31" s="97"/>
    </row>
    <row r="32" spans="1:19" s="56" customFormat="1">
      <c r="A32" s="261">
        <v>17</v>
      </c>
      <c r="B32" s="583"/>
      <c r="C32" s="339" t="s">
        <v>936</v>
      </c>
      <c r="D32" s="345"/>
      <c r="E32" s="264" t="s">
        <v>136</v>
      </c>
      <c r="F32" s="264">
        <v>44</v>
      </c>
      <c r="G32" s="275">
        <v>7.1</v>
      </c>
      <c r="H32" s="266">
        <v>10</v>
      </c>
      <c r="I32" s="222">
        <f t="shared" si="7"/>
        <v>71</v>
      </c>
      <c r="J32" s="316"/>
      <c r="K32" s="316">
        <v>18</v>
      </c>
      <c r="L32" s="222">
        <f t="shared" si="6"/>
        <v>89</v>
      </c>
      <c r="M32" s="222">
        <f t="shared" si="1"/>
        <v>312.39999999999998</v>
      </c>
      <c r="N32" s="222">
        <f t="shared" si="2"/>
        <v>3124</v>
      </c>
      <c r="O32" s="222">
        <f t="shared" si="3"/>
        <v>0</v>
      </c>
      <c r="P32" s="222">
        <f t="shared" si="4"/>
        <v>792</v>
      </c>
      <c r="Q32" s="250">
        <f t="shared" si="5"/>
        <v>3916</v>
      </c>
      <c r="S32" s="97"/>
    </row>
    <row r="33" spans="1:19" s="56" customFormat="1">
      <c r="A33" s="261">
        <v>18</v>
      </c>
      <c r="B33" s="583"/>
      <c r="C33" s="340" t="s">
        <v>893</v>
      </c>
      <c r="D33" s="345"/>
      <c r="E33" s="264" t="s">
        <v>884</v>
      </c>
      <c r="F33" s="264">
        <v>105</v>
      </c>
      <c r="G33" s="275">
        <v>0.69</v>
      </c>
      <c r="H33" s="266">
        <v>10</v>
      </c>
      <c r="I33" s="222">
        <f t="shared" si="7"/>
        <v>6.9</v>
      </c>
      <c r="J33" s="316"/>
      <c r="K33" s="316">
        <v>0.65</v>
      </c>
      <c r="L33" s="222">
        <f t="shared" si="6"/>
        <v>7.5500000000000007</v>
      </c>
      <c r="M33" s="222">
        <f t="shared" si="1"/>
        <v>72.45</v>
      </c>
      <c r="N33" s="222">
        <f t="shared" si="2"/>
        <v>724.5</v>
      </c>
      <c r="O33" s="222">
        <f t="shared" si="3"/>
        <v>0</v>
      </c>
      <c r="P33" s="222">
        <f t="shared" si="4"/>
        <v>68.25</v>
      </c>
      <c r="Q33" s="250">
        <f t="shared" si="5"/>
        <v>792.75</v>
      </c>
      <c r="S33" s="97"/>
    </row>
    <row r="34" spans="1:19" s="56" customFormat="1">
      <c r="A34" s="261">
        <v>19</v>
      </c>
      <c r="B34" s="583"/>
      <c r="C34" s="339" t="s">
        <v>917</v>
      </c>
      <c r="D34" s="345"/>
      <c r="E34" s="272" t="s">
        <v>884</v>
      </c>
      <c r="F34" s="264">
        <v>326</v>
      </c>
      <c r="G34" s="275">
        <v>0.69</v>
      </c>
      <c r="H34" s="266">
        <v>10</v>
      </c>
      <c r="I34" s="222">
        <f t="shared" si="7"/>
        <v>6.9</v>
      </c>
      <c r="J34" s="316"/>
      <c r="K34" s="316">
        <v>0.65</v>
      </c>
      <c r="L34" s="222">
        <f t="shared" si="6"/>
        <v>7.5500000000000007</v>
      </c>
      <c r="M34" s="222">
        <f t="shared" si="1"/>
        <v>224.94</v>
      </c>
      <c r="N34" s="222">
        <f t="shared" si="2"/>
        <v>2249.4</v>
      </c>
      <c r="O34" s="222">
        <f t="shared" si="3"/>
        <v>0</v>
      </c>
      <c r="P34" s="222">
        <f t="shared" si="4"/>
        <v>211.9</v>
      </c>
      <c r="Q34" s="250">
        <f t="shared" si="5"/>
        <v>2461.3000000000002</v>
      </c>
      <c r="S34" s="97"/>
    </row>
    <row r="35" spans="1:19" s="56" customFormat="1">
      <c r="A35" s="261">
        <v>20</v>
      </c>
      <c r="B35" s="583"/>
      <c r="C35" s="340" t="s">
        <v>897</v>
      </c>
      <c r="D35" s="345"/>
      <c r="E35" s="272" t="s">
        <v>884</v>
      </c>
      <c r="F35" s="264">
        <v>1550</v>
      </c>
      <c r="G35" s="267">
        <v>0.18</v>
      </c>
      <c r="H35" s="266">
        <v>10</v>
      </c>
      <c r="I35" s="222">
        <f t="shared" si="7"/>
        <v>1.8</v>
      </c>
      <c r="J35" s="316"/>
      <c r="K35" s="316">
        <v>1.8</v>
      </c>
      <c r="L35" s="222">
        <f t="shared" si="6"/>
        <v>3.6</v>
      </c>
      <c r="M35" s="222">
        <f t="shared" si="1"/>
        <v>279</v>
      </c>
      <c r="N35" s="222">
        <f t="shared" si="2"/>
        <v>2790</v>
      </c>
      <c r="O35" s="222">
        <f t="shared" si="3"/>
        <v>0</v>
      </c>
      <c r="P35" s="222">
        <f t="shared" si="4"/>
        <v>2790</v>
      </c>
      <c r="Q35" s="250">
        <f t="shared" si="5"/>
        <v>5580</v>
      </c>
      <c r="S35" s="97"/>
    </row>
    <row r="36" spans="1:19" s="56" customFormat="1" ht="38">
      <c r="A36" s="261">
        <v>21</v>
      </c>
      <c r="B36" s="583"/>
      <c r="C36" s="340" t="s">
        <v>898</v>
      </c>
      <c r="D36" s="345"/>
      <c r="E36" s="272" t="s">
        <v>884</v>
      </c>
      <c r="F36" s="264">
        <v>1119</v>
      </c>
      <c r="G36" s="267">
        <v>0.3</v>
      </c>
      <c r="H36" s="266">
        <v>10</v>
      </c>
      <c r="I36" s="222">
        <f t="shared" si="7"/>
        <v>3</v>
      </c>
      <c r="J36" s="316">
        <v>6.6</v>
      </c>
      <c r="K36" s="316">
        <v>0.4</v>
      </c>
      <c r="L36" s="222">
        <f t="shared" si="6"/>
        <v>10</v>
      </c>
      <c r="M36" s="222">
        <f t="shared" si="1"/>
        <v>335.7</v>
      </c>
      <c r="N36" s="222">
        <f t="shared" si="2"/>
        <v>3357</v>
      </c>
      <c r="O36" s="222">
        <f t="shared" si="3"/>
        <v>7385.4</v>
      </c>
      <c r="P36" s="222">
        <f t="shared" si="4"/>
        <v>447.6</v>
      </c>
      <c r="Q36" s="250">
        <f t="shared" si="5"/>
        <v>11190</v>
      </c>
      <c r="S36" s="97"/>
    </row>
    <row r="37" spans="1:19" s="56" customFormat="1" ht="25.55">
      <c r="A37" s="261">
        <v>22</v>
      </c>
      <c r="B37" s="583"/>
      <c r="C37" s="339" t="s">
        <v>918</v>
      </c>
      <c r="D37" s="345"/>
      <c r="E37" s="272" t="s">
        <v>884</v>
      </c>
      <c r="F37" s="264">
        <v>1550</v>
      </c>
      <c r="G37" s="267">
        <v>0.2</v>
      </c>
      <c r="H37" s="266">
        <v>10</v>
      </c>
      <c r="I37" s="222">
        <f t="shared" si="7"/>
        <v>2</v>
      </c>
      <c r="J37" s="316"/>
      <c r="K37" s="316">
        <v>5.5</v>
      </c>
      <c r="L37" s="222">
        <f t="shared" si="6"/>
        <v>7.5</v>
      </c>
      <c r="M37" s="222">
        <f t="shared" si="1"/>
        <v>310</v>
      </c>
      <c r="N37" s="222">
        <f t="shared" si="2"/>
        <v>3100</v>
      </c>
      <c r="O37" s="222">
        <f t="shared" si="3"/>
        <v>0</v>
      </c>
      <c r="P37" s="222">
        <f t="shared" si="4"/>
        <v>8525</v>
      </c>
      <c r="Q37" s="250">
        <f t="shared" si="5"/>
        <v>11625</v>
      </c>
      <c r="S37" s="97"/>
    </row>
    <row r="38" spans="1:19" s="56" customFormat="1" ht="25.55">
      <c r="A38" s="261">
        <v>23</v>
      </c>
      <c r="B38" s="583"/>
      <c r="C38" s="340" t="s">
        <v>937</v>
      </c>
      <c r="D38" s="345"/>
      <c r="E38" s="272" t="s">
        <v>892</v>
      </c>
      <c r="F38" s="264">
        <v>1</v>
      </c>
      <c r="G38" s="267">
        <v>3.5</v>
      </c>
      <c r="H38" s="266">
        <v>10</v>
      </c>
      <c r="I38" s="222">
        <f t="shared" si="7"/>
        <v>35</v>
      </c>
      <c r="J38" s="316"/>
      <c r="K38" s="316">
        <v>2</v>
      </c>
      <c r="L38" s="222">
        <f t="shared" si="6"/>
        <v>37</v>
      </c>
      <c r="M38" s="222">
        <f t="shared" si="1"/>
        <v>3.5</v>
      </c>
      <c r="N38" s="222">
        <f t="shared" si="2"/>
        <v>35</v>
      </c>
      <c r="O38" s="222">
        <f t="shared" si="3"/>
        <v>0</v>
      </c>
      <c r="P38" s="222">
        <f t="shared" si="4"/>
        <v>2</v>
      </c>
      <c r="Q38" s="250">
        <f t="shared" si="5"/>
        <v>37</v>
      </c>
      <c r="S38" s="97"/>
    </row>
    <row r="39" spans="1:19" s="56" customFormat="1">
      <c r="A39" s="261">
        <v>24</v>
      </c>
      <c r="B39" s="583"/>
      <c r="C39" s="340" t="s">
        <v>921</v>
      </c>
      <c r="D39" s="345"/>
      <c r="E39" s="272" t="s">
        <v>111</v>
      </c>
      <c r="F39" s="756" t="s">
        <v>1695</v>
      </c>
      <c r="G39" s="275">
        <f>IFERROR(ROUND(I39/H39,2),0)</f>
        <v>0</v>
      </c>
      <c r="H39" s="266"/>
      <c r="I39" s="316"/>
      <c r="J39" s="316"/>
      <c r="K39" s="316">
        <v>3.4</v>
      </c>
      <c r="L39" s="222">
        <f t="shared" si="6"/>
        <v>3.4</v>
      </c>
      <c r="M39" s="222">
        <f t="shared" si="1"/>
        <v>0</v>
      </c>
      <c r="N39" s="222">
        <f t="shared" si="2"/>
        <v>0</v>
      </c>
      <c r="O39" s="222">
        <f t="shared" si="3"/>
        <v>0</v>
      </c>
      <c r="P39" s="222">
        <f t="shared" si="4"/>
        <v>2296.36</v>
      </c>
      <c r="Q39" s="250">
        <f t="shared" si="5"/>
        <v>2296.36</v>
      </c>
      <c r="S39" s="97"/>
    </row>
    <row r="40" spans="1:19" s="56" customFormat="1" ht="25.55">
      <c r="A40" s="261">
        <v>25</v>
      </c>
      <c r="B40" s="583"/>
      <c r="C40" s="339" t="s">
        <v>901</v>
      </c>
      <c r="D40" s="345"/>
      <c r="E40" s="272" t="s">
        <v>136</v>
      </c>
      <c r="F40" s="756">
        <v>1</v>
      </c>
      <c r="G40" s="275">
        <v>0.45</v>
      </c>
      <c r="H40" s="266">
        <v>10</v>
      </c>
      <c r="I40" s="222">
        <f>ROUND(G40*H40,2)</f>
        <v>4.5</v>
      </c>
      <c r="J40" s="316"/>
      <c r="K40" s="316">
        <v>0.08</v>
      </c>
      <c r="L40" s="222">
        <f t="shared" si="6"/>
        <v>4.58</v>
      </c>
      <c r="M40" s="222">
        <f t="shared" si="1"/>
        <v>0.45</v>
      </c>
      <c r="N40" s="222">
        <f t="shared" si="2"/>
        <v>4.5</v>
      </c>
      <c r="O40" s="222">
        <f t="shared" si="3"/>
        <v>0</v>
      </c>
      <c r="P40" s="222">
        <f t="shared" si="4"/>
        <v>0.08</v>
      </c>
      <c r="Q40" s="250">
        <f t="shared" si="5"/>
        <v>4.58</v>
      </c>
      <c r="S40" s="97"/>
    </row>
    <row r="41" spans="1:19" s="56" customFormat="1" ht="25.55">
      <c r="A41" s="261">
        <v>26</v>
      </c>
      <c r="B41" s="583"/>
      <c r="C41" s="339" t="s">
        <v>904</v>
      </c>
      <c r="D41" s="345"/>
      <c r="E41" s="272" t="s">
        <v>111</v>
      </c>
      <c r="F41" s="756" t="s">
        <v>1695</v>
      </c>
      <c r="G41" s="275">
        <f>IFERROR(ROUND(I41/H41,2),0)</f>
        <v>0</v>
      </c>
      <c r="H41" s="275">
        <f>IF(I41&gt;0,5,0)</f>
        <v>0</v>
      </c>
      <c r="I41" s="316"/>
      <c r="J41" s="316"/>
      <c r="K41" s="316">
        <v>4.2</v>
      </c>
      <c r="L41" s="222">
        <f t="shared" si="6"/>
        <v>4.2</v>
      </c>
      <c r="M41" s="222">
        <f t="shared" si="1"/>
        <v>0</v>
      </c>
      <c r="N41" s="222">
        <f t="shared" si="2"/>
        <v>0</v>
      </c>
      <c r="O41" s="222">
        <f t="shared" si="3"/>
        <v>0</v>
      </c>
      <c r="P41" s="222">
        <f t="shared" si="4"/>
        <v>2836.68</v>
      </c>
      <c r="Q41" s="250">
        <f t="shared" si="5"/>
        <v>2836.68</v>
      </c>
      <c r="S41" s="97"/>
    </row>
    <row r="42" spans="1:19" s="56" customFormat="1" ht="25.55">
      <c r="A42" s="261">
        <v>27</v>
      </c>
      <c r="B42" s="583"/>
      <c r="C42" s="340" t="s">
        <v>922</v>
      </c>
      <c r="D42" s="346"/>
      <c r="E42" s="264" t="s">
        <v>136</v>
      </c>
      <c r="F42" s="264">
        <v>1</v>
      </c>
      <c r="G42" s="275">
        <f>IFERROR(ROUND(I42/H42,2),0)</f>
        <v>0</v>
      </c>
      <c r="H42" s="275">
        <f>IF(I42&gt;0,5,0)</f>
        <v>0</v>
      </c>
      <c r="I42" s="316"/>
      <c r="J42" s="316"/>
      <c r="K42" s="316">
        <v>90</v>
      </c>
      <c r="L42" s="222">
        <f t="shared" si="6"/>
        <v>90</v>
      </c>
      <c r="M42" s="222">
        <f t="shared" si="1"/>
        <v>0</v>
      </c>
      <c r="N42" s="222">
        <f t="shared" si="2"/>
        <v>0</v>
      </c>
      <c r="O42" s="222">
        <f t="shared" si="3"/>
        <v>0</v>
      </c>
      <c r="P42" s="222">
        <f t="shared" si="4"/>
        <v>90</v>
      </c>
      <c r="Q42" s="250">
        <f t="shared" si="5"/>
        <v>90</v>
      </c>
      <c r="S42" s="97"/>
    </row>
    <row r="43" spans="1:19" s="56" customFormat="1">
      <c r="A43" s="261">
        <v>28</v>
      </c>
      <c r="B43" s="583"/>
      <c r="C43" s="339" t="s">
        <v>903</v>
      </c>
      <c r="D43" s="346"/>
      <c r="E43" s="264" t="s">
        <v>136</v>
      </c>
      <c r="F43" s="264">
        <v>1</v>
      </c>
      <c r="G43" s="275">
        <f>IFERROR(ROUND(I43/H43,2),0)</f>
        <v>0</v>
      </c>
      <c r="H43" s="275">
        <f>IF(I43&gt;0,5,0)</f>
        <v>0</v>
      </c>
      <c r="I43" s="316"/>
      <c r="J43" s="316"/>
      <c r="K43" s="316">
        <v>100</v>
      </c>
      <c r="L43" s="222">
        <f t="shared" si="6"/>
        <v>100</v>
      </c>
      <c r="M43" s="222">
        <f t="shared" si="1"/>
        <v>0</v>
      </c>
      <c r="N43" s="222">
        <f t="shared" si="2"/>
        <v>0</v>
      </c>
      <c r="O43" s="222">
        <f t="shared" si="3"/>
        <v>0</v>
      </c>
      <c r="P43" s="222">
        <f t="shared" si="4"/>
        <v>100</v>
      </c>
      <c r="Q43" s="250">
        <f t="shared" si="5"/>
        <v>100</v>
      </c>
      <c r="S43" s="97"/>
    </row>
    <row r="44" spans="1:19" s="56" customFormat="1">
      <c r="A44" s="348"/>
      <c r="B44" s="349"/>
      <c r="C44" s="350"/>
      <c r="D44" s="350"/>
      <c r="E44" s="351"/>
      <c r="F44" s="352"/>
      <c r="G44" s="353"/>
      <c r="H44" s="353"/>
      <c r="I44" s="352"/>
      <c r="J44" s="352"/>
      <c r="K44" s="352"/>
      <c r="L44" s="352"/>
      <c r="M44" s="353"/>
      <c r="N44" s="352"/>
      <c r="O44" s="352"/>
      <c r="P44" s="352"/>
      <c r="Q44" s="354"/>
    </row>
    <row r="45" spans="1:19" ht="15.05" customHeight="1">
      <c r="A45" s="41"/>
      <c r="B45" s="41"/>
      <c r="C45" s="932" t="s">
        <v>99</v>
      </c>
      <c r="D45" s="932"/>
      <c r="E45" s="933"/>
      <c r="F45" s="933"/>
      <c r="G45" s="933"/>
      <c r="H45" s="933"/>
      <c r="I45" s="933"/>
      <c r="J45" s="933"/>
      <c r="K45" s="933"/>
      <c r="L45" s="933"/>
      <c r="M45" s="42">
        <f>SUM(M13:M44)</f>
        <v>2821.7</v>
      </c>
      <c r="N45" s="42">
        <f>SUM(N13:N44)</f>
        <v>28217</v>
      </c>
      <c r="O45" s="42">
        <f>SUM(O13:O44)</f>
        <v>31001.700000000004</v>
      </c>
      <c r="P45" s="42">
        <f>SUM(P13:P44)</f>
        <v>18430.03</v>
      </c>
      <c r="Q45" s="42">
        <f>SUM(Q13:Q44)</f>
        <v>77648.73</v>
      </c>
    </row>
    <row r="46" spans="1:19" s="125" customFormat="1" collapsed="1">
      <c r="J46" s="146"/>
    </row>
    <row r="47" spans="1:19" s="122" customFormat="1" ht="12.8" customHeight="1">
      <c r="B47" s="147" t="s">
        <v>54</v>
      </c>
    </row>
    <row r="48" spans="1:19" s="122" customFormat="1" ht="45" customHeight="1">
      <c r="A48"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48" s="926"/>
      <c r="C48" s="926"/>
      <c r="D48" s="926"/>
      <c r="E48" s="926"/>
      <c r="F48" s="926"/>
      <c r="G48" s="926"/>
      <c r="H48" s="926"/>
      <c r="I48" s="926"/>
      <c r="J48" s="926"/>
      <c r="K48" s="926"/>
      <c r="L48" s="926"/>
      <c r="M48" s="926"/>
      <c r="N48" s="926"/>
      <c r="O48" s="926"/>
      <c r="P48" s="926"/>
      <c r="Q48" s="926"/>
    </row>
    <row r="49" spans="1:17" s="122" customFormat="1" ht="77.25" customHeight="1">
      <c r="A49" s="925"/>
      <c r="B49" s="925"/>
      <c r="C49" s="925"/>
      <c r="D49" s="925"/>
      <c r="E49" s="925"/>
      <c r="F49" s="925"/>
      <c r="G49" s="925"/>
      <c r="H49" s="925"/>
      <c r="I49" s="925"/>
      <c r="J49" s="925"/>
      <c r="K49" s="925"/>
      <c r="L49" s="925"/>
      <c r="M49" s="925"/>
      <c r="N49" s="925"/>
      <c r="O49" s="925"/>
      <c r="P49" s="925"/>
      <c r="Q49" s="925"/>
    </row>
    <row r="50" spans="1:17" s="122" customFormat="1" ht="12.8" customHeight="1">
      <c r="B50" s="148"/>
    </row>
    <row r="51" spans="1:17" s="122" customFormat="1" ht="12.8" customHeight="1">
      <c r="B51" s="148"/>
    </row>
    <row r="52" spans="1:17" s="125" customFormat="1">
      <c r="B52" s="125" t="s">
        <v>8</v>
      </c>
      <c r="M52" s="157" t="str">
        <f>Koptame!B39</f>
        <v>Pārbaudīja:</v>
      </c>
      <c r="N52" s="157"/>
      <c r="O52" s="157"/>
      <c r="P52" s="157"/>
      <c r="Q52" s="157"/>
    </row>
    <row r="53" spans="1:17" s="125" customFormat="1" ht="14.25" customHeight="1">
      <c r="C53" s="182" t="str">
        <f>Koptame!C34</f>
        <v>Arnis Gailītis</v>
      </c>
      <c r="D53" s="191"/>
      <c r="M53" s="182"/>
      <c r="N53" s="922" t="str">
        <f>Koptame!C40</f>
        <v>Dzintra Cīrule</v>
      </c>
      <c r="O53" s="922"/>
      <c r="P53" s="157"/>
      <c r="Q53" s="157"/>
    </row>
    <row r="54" spans="1:17" s="125" customFormat="1">
      <c r="C54" s="183" t="str">
        <f>Koptame!C35</f>
        <v>Sertifikāta Nr.20-5643</v>
      </c>
      <c r="D54" s="192"/>
      <c r="M54" s="183"/>
      <c r="N54" s="923" t="str">
        <f>Koptame!C41</f>
        <v>Sertifikāta Nr.10-0363</v>
      </c>
      <c r="O54" s="923"/>
      <c r="P54" s="157"/>
      <c r="Q54" s="157"/>
    </row>
    <row r="55" spans="1:17" s="125" customFormat="1" collapsed="1">
      <c r="A55" s="125">
        <f>'3,2'!A52</f>
        <v>0</v>
      </c>
      <c r="B55" s="146">
        <f>'3,2'!B52</f>
        <v>0</v>
      </c>
      <c r="C55" s="125">
        <f>'3,2'!C52</f>
        <v>0</v>
      </c>
      <c r="E55" s="125">
        <f>'3,2'!E52</f>
        <v>0</v>
      </c>
      <c r="F55" s="125">
        <f>'3,2'!F52</f>
        <v>0</v>
      </c>
      <c r="G55" s="146">
        <f>'3,2'!G52</f>
        <v>0</v>
      </c>
      <c r="H55" s="146">
        <f>'3,2'!H52</f>
        <v>0</v>
      </c>
      <c r="I55" s="125">
        <f>'3,2'!I52</f>
        <v>0</v>
      </c>
      <c r="J55" s="125">
        <f>'3,2'!J52</f>
        <v>0</v>
      </c>
      <c r="K55" s="125">
        <f>'3,2'!K52</f>
        <v>0</v>
      </c>
      <c r="L55" s="125">
        <f>'3,2'!L52</f>
        <v>0</v>
      </c>
      <c r="N55" s="125">
        <f>'3,2'!N52</f>
        <v>0</v>
      </c>
      <c r="O55" s="125">
        <f>'3,2'!O52</f>
        <v>0</v>
      </c>
      <c r="P55" s="125">
        <f>'3,2'!P52</f>
        <v>0</v>
      </c>
      <c r="Q55" s="125">
        <f>'3,2'!Q52</f>
        <v>0</v>
      </c>
    </row>
  </sheetData>
  <mergeCells count="18">
    <mergeCell ref="N54:O54"/>
    <mergeCell ref="G11:L11"/>
    <mergeCell ref="M11:Q11"/>
    <mergeCell ref="C45:L45"/>
    <mergeCell ref="N53:O53"/>
    <mergeCell ref="A49:Q49"/>
    <mergeCell ref="A48:Q48"/>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6"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Q66"/>
  <sheetViews>
    <sheetView showZeros="0" view="pageBreakPreview" zoomScale="90" zoomScaleNormal="100" zoomScaleSheetLayoutView="90" workbookViewId="0">
      <selection activeCell="D27" sqref="D27"/>
    </sheetView>
  </sheetViews>
  <sheetFormatPr defaultColWidth="9.125" defaultRowHeight="14.4"/>
  <cols>
    <col min="1" max="1" width="9" style="19" customWidth="1"/>
    <col min="2" max="2" width="9.375" style="19" customWidth="1"/>
    <col min="3" max="3" width="40.25" style="19" customWidth="1"/>
    <col min="4" max="4" width="17" style="19" customWidth="1"/>
    <col min="5" max="5" width="8.125" style="19" customWidth="1"/>
    <col min="6" max="12" width="9.125" style="19"/>
    <col min="13" max="13" width="11.625" style="19" customWidth="1"/>
    <col min="14" max="14" width="12.25" style="19" customWidth="1"/>
    <col min="15" max="15" width="12.75" style="19" customWidth="1"/>
    <col min="16" max="16" width="11.625" style="19" customWidth="1"/>
    <col min="17" max="17" width="13.625" style="19" customWidth="1"/>
    <col min="18" max="16384" width="9.125" style="19"/>
  </cols>
  <sheetData>
    <row r="1" spans="1:17" s="24" customFormat="1">
      <c r="F1" s="21"/>
      <c r="G1" s="21"/>
      <c r="H1" s="181" t="s">
        <v>92</v>
      </c>
      <c r="I1" s="110" t="str">
        <f>kops3!B24</f>
        <v>3,4</v>
      </c>
    </row>
    <row r="2" spans="1:17" s="24" customFormat="1">
      <c r="A2" s="919" t="str">
        <f>C13</f>
        <v>Ārējie vājstrāvu tīkli</v>
      </c>
      <c r="B2" s="919"/>
      <c r="C2" s="919"/>
      <c r="D2" s="919"/>
      <c r="E2" s="919"/>
      <c r="F2" s="919"/>
      <c r="G2" s="919"/>
      <c r="H2" s="919"/>
      <c r="I2" s="919"/>
      <c r="J2" s="919"/>
      <c r="K2" s="919"/>
      <c r="L2" s="919"/>
      <c r="M2" s="919"/>
      <c r="N2" s="919"/>
      <c r="O2" s="919"/>
      <c r="P2" s="919"/>
      <c r="Q2" s="919"/>
    </row>
    <row r="3" spans="1:17">
      <c r="A3" s="20"/>
      <c r="B3" s="20"/>
      <c r="C3" s="20" t="s">
        <v>11</v>
      </c>
      <c r="D3" s="20"/>
      <c r="E3" s="921" t="str">
        <f>Koptame!C11</f>
        <v>Ražošanas ēka</v>
      </c>
      <c r="F3" s="921"/>
      <c r="G3" s="921"/>
      <c r="H3" s="921"/>
      <c r="I3" s="921"/>
      <c r="J3" s="921"/>
      <c r="K3" s="921"/>
      <c r="L3" s="921"/>
      <c r="M3" s="921"/>
      <c r="N3" s="921"/>
      <c r="O3" s="921"/>
      <c r="P3" s="921"/>
      <c r="Q3" s="921"/>
    </row>
    <row r="4" spans="1:17">
      <c r="A4" s="20"/>
      <c r="B4" s="20"/>
      <c r="C4" s="20" t="s">
        <v>12</v>
      </c>
      <c r="D4" s="20"/>
      <c r="E4" s="921" t="str">
        <f>Koptame!C12</f>
        <v>Ražošanas ēkas Nr.7 jaunbūve</v>
      </c>
      <c r="F4" s="921"/>
      <c r="G4" s="921"/>
      <c r="H4" s="921"/>
      <c r="I4" s="921"/>
      <c r="J4" s="921"/>
      <c r="K4" s="921"/>
      <c r="L4" s="921"/>
      <c r="M4" s="921"/>
      <c r="N4" s="921"/>
      <c r="O4" s="921"/>
      <c r="P4" s="921"/>
      <c r="Q4" s="921"/>
    </row>
    <row r="5" spans="1:17">
      <c r="A5" s="20"/>
      <c r="B5" s="20"/>
      <c r="C5" s="20" t="s">
        <v>13</v>
      </c>
      <c r="D5" s="20"/>
      <c r="E5" s="921" t="str">
        <f>Koptame!C13</f>
        <v>Ventspils, Ventspils Augsto tehnoloģiju parks</v>
      </c>
      <c r="F5" s="921"/>
      <c r="G5" s="921"/>
      <c r="H5" s="921"/>
      <c r="I5" s="921"/>
      <c r="J5" s="921"/>
      <c r="K5" s="921"/>
      <c r="L5" s="921"/>
      <c r="M5" s="921"/>
      <c r="N5" s="921"/>
      <c r="O5" s="921"/>
      <c r="P5" s="921"/>
      <c r="Q5" s="921"/>
    </row>
    <row r="6" spans="1:17">
      <c r="A6" s="20"/>
      <c r="B6" s="20"/>
      <c r="C6" s="20" t="str">
        <f>Koptame!B14</f>
        <v>Pasūtījuma Nr.</v>
      </c>
      <c r="D6" s="20"/>
      <c r="E6" s="22" t="str">
        <f>Koptame!C14</f>
        <v>2016-04</v>
      </c>
      <c r="F6" s="43"/>
      <c r="G6" s="43"/>
      <c r="H6" s="43"/>
      <c r="I6" s="43"/>
      <c r="J6" s="43"/>
      <c r="K6" s="43"/>
      <c r="L6" s="43"/>
      <c r="M6" s="43"/>
      <c r="N6" s="43"/>
      <c r="O6" s="43"/>
      <c r="P6" s="43"/>
      <c r="Q6" s="25"/>
    </row>
    <row r="7" spans="1:17">
      <c r="A7" s="3" t="str">
        <f>Koptame!B17</f>
        <v>Tāme sastādīta 2018.gada tirgus cenās, pamatojoties uz SIA „Baltex Group” būvprojekta rasējumiem un darbu apjomiem</v>
      </c>
      <c r="B7" s="46"/>
      <c r="E7" s="22"/>
      <c r="F7" s="22"/>
      <c r="G7" s="22"/>
      <c r="H7" s="22"/>
      <c r="I7" s="22"/>
      <c r="J7" s="22"/>
      <c r="K7" s="22"/>
      <c r="L7" s="43"/>
      <c r="M7" s="43"/>
      <c r="N7" s="43"/>
      <c r="O7" s="43"/>
      <c r="P7" s="20" t="s">
        <v>87</v>
      </c>
      <c r="Q7" s="26">
        <f>Q56</f>
        <v>16849.169999999998</v>
      </c>
    </row>
    <row r="8" spans="1:17">
      <c r="A8" s="23"/>
      <c r="B8" s="23"/>
      <c r="E8" s="27"/>
      <c r="F8" s="43"/>
      <c r="G8" s="43"/>
      <c r="H8" s="43"/>
      <c r="I8" s="43"/>
      <c r="J8" s="43"/>
      <c r="K8" s="43"/>
      <c r="L8" s="43"/>
      <c r="O8" s="43"/>
      <c r="P8" s="43"/>
      <c r="Q8" s="25"/>
    </row>
    <row r="9" spans="1:17" ht="15.05" customHeight="1">
      <c r="A9" s="45"/>
      <c r="B9" s="45"/>
      <c r="K9" s="44"/>
      <c r="L9" s="44"/>
      <c r="M9" s="920" t="str">
        <f>Koptame!D16</f>
        <v>Tāme sastādīta:  2018.gada 19. februāris</v>
      </c>
      <c r="N9" s="920"/>
      <c r="O9" s="920"/>
      <c r="P9" s="920"/>
      <c r="Q9" s="44"/>
    </row>
    <row r="10" spans="1:17" ht="15.05">
      <c r="A10" s="45"/>
      <c r="B10" s="45"/>
    </row>
    <row r="11" spans="1:17" ht="14.25" customHeight="1">
      <c r="A11" s="927" t="s">
        <v>15</v>
      </c>
      <c r="B11" s="934" t="s">
        <v>21</v>
      </c>
      <c r="C11" s="940" t="s">
        <v>97</v>
      </c>
      <c r="D11" s="941"/>
      <c r="E11" s="931" t="s">
        <v>22</v>
      </c>
      <c r="F11" s="927" t="s">
        <v>23</v>
      </c>
      <c r="G11" s="924" t="s">
        <v>24</v>
      </c>
      <c r="H11" s="924"/>
      <c r="I11" s="924"/>
      <c r="J11" s="924"/>
      <c r="K11" s="924"/>
      <c r="L11" s="924"/>
      <c r="M11" s="924" t="s">
        <v>25</v>
      </c>
      <c r="N11" s="924"/>
      <c r="O11" s="924"/>
      <c r="P11" s="924"/>
      <c r="Q11" s="924"/>
    </row>
    <row r="12" spans="1:17" ht="62.85">
      <c r="A12" s="927"/>
      <c r="B12" s="935"/>
      <c r="C12" s="947"/>
      <c r="D12" s="948"/>
      <c r="E12" s="931"/>
      <c r="F12" s="927"/>
      <c r="G12" s="166" t="s">
        <v>26</v>
      </c>
      <c r="H12" s="166" t="s">
        <v>58</v>
      </c>
      <c r="I12" s="166" t="s">
        <v>59</v>
      </c>
      <c r="J12" s="187" t="s">
        <v>95</v>
      </c>
      <c r="K12" s="166" t="s">
        <v>60</v>
      </c>
      <c r="L12" s="166" t="s">
        <v>61</v>
      </c>
      <c r="M12" s="166" t="s">
        <v>18</v>
      </c>
      <c r="N12" s="166" t="s">
        <v>59</v>
      </c>
      <c r="O12" s="187" t="s">
        <v>95</v>
      </c>
      <c r="P12" s="166" t="s">
        <v>60</v>
      </c>
      <c r="Q12" s="166" t="s">
        <v>62</v>
      </c>
    </row>
    <row r="13" spans="1:17" ht="15.05">
      <c r="A13" s="209"/>
      <c r="B13" s="210">
        <v>0</v>
      </c>
      <c r="C13" s="949" t="str">
        <f>kops3!C24</f>
        <v>Ārējie vājstrāvu tīkli</v>
      </c>
      <c r="D13" s="950"/>
      <c r="E13" s="212"/>
      <c r="F13" s="213"/>
      <c r="G13" s="214">
        <v>0</v>
      </c>
      <c r="H13" s="215">
        <v>0</v>
      </c>
      <c r="I13" s="216">
        <v>0</v>
      </c>
      <c r="J13" s="215">
        <v>0</v>
      </c>
      <c r="K13" s="215">
        <v>0</v>
      </c>
      <c r="L13" s="215">
        <f t="shared" ref="L13" si="0">SUM(I13:K13)</f>
        <v>0</v>
      </c>
      <c r="M13" s="214">
        <f t="shared" ref="M13" si="1">ROUND(G13*F13,2)</f>
        <v>0</v>
      </c>
      <c r="N13" s="215">
        <f t="shared" ref="N13" si="2">ROUND(I13*F13,2)</f>
        <v>0</v>
      </c>
      <c r="O13" s="215">
        <f t="shared" ref="O13" si="3">ROUND(J13*F13,2)</f>
        <v>0</v>
      </c>
      <c r="P13" s="215">
        <f t="shared" ref="P13" si="4">ROUND(K13*F13,2)</f>
        <v>0</v>
      </c>
      <c r="Q13" s="244">
        <f t="shared" ref="Q13" si="5">SUM(N13:P13)</f>
        <v>0</v>
      </c>
    </row>
    <row r="14" spans="1:17" s="56" customFormat="1">
      <c r="A14" s="757"/>
      <c r="B14" s="355"/>
      <c r="C14" s="356" t="s">
        <v>938</v>
      </c>
      <c r="D14" s="356"/>
      <c r="E14" s="253"/>
      <c r="F14" s="253"/>
      <c r="G14" s="981"/>
      <c r="H14" s="982"/>
      <c r="I14" s="983"/>
      <c r="J14" s="984"/>
      <c r="K14" s="985"/>
      <c r="L14" s="363">
        <f t="shared" ref="L14:L54" si="6">SUM(I14:K14)</f>
        <v>0</v>
      </c>
      <c r="M14" s="363">
        <f t="shared" ref="M14:M54" si="7">ROUND(G14*F14,2)</f>
        <v>0</v>
      </c>
      <c r="N14" s="363">
        <f t="shared" ref="N14:N54" si="8">ROUND(I14*F14,2)</f>
        <v>0</v>
      </c>
      <c r="O14" s="363">
        <f t="shared" ref="O14:O54" si="9">ROUND(J14*F14,2)</f>
        <v>0</v>
      </c>
      <c r="P14" s="363">
        <f t="shared" ref="P14:P54" si="10">ROUND(K14*F14,2)</f>
        <v>0</v>
      </c>
      <c r="Q14" s="378">
        <f t="shared" ref="Q14:Q54" si="11">SUM(N14:P14)</f>
        <v>0</v>
      </c>
    </row>
    <row r="15" spans="1:17" s="56" customFormat="1">
      <c r="A15" s="358">
        <v>1</v>
      </c>
      <c r="B15" s="758"/>
      <c r="C15" s="359" t="s">
        <v>939</v>
      </c>
      <c r="D15" s="252" t="s">
        <v>940</v>
      </c>
      <c r="E15" s="252" t="s">
        <v>118</v>
      </c>
      <c r="F15" s="252">
        <v>14</v>
      </c>
      <c r="G15" s="981"/>
      <c r="H15" s="982"/>
      <c r="I15" s="983"/>
      <c r="J15" s="379">
        <v>17.3</v>
      </c>
      <c r="K15" s="985"/>
      <c r="L15" s="363">
        <f t="shared" si="6"/>
        <v>17.3</v>
      </c>
      <c r="M15" s="363">
        <f t="shared" si="7"/>
        <v>0</v>
      </c>
      <c r="N15" s="363">
        <f t="shared" si="8"/>
        <v>0</v>
      </c>
      <c r="O15" s="363">
        <f t="shared" si="9"/>
        <v>242.2</v>
      </c>
      <c r="P15" s="363">
        <f t="shared" si="10"/>
        <v>0</v>
      </c>
      <c r="Q15" s="378">
        <f t="shared" si="11"/>
        <v>242.2</v>
      </c>
    </row>
    <row r="16" spans="1:17" s="56" customFormat="1">
      <c r="A16" s="358">
        <v>2</v>
      </c>
      <c r="B16" s="758"/>
      <c r="C16" s="986" t="s">
        <v>939</v>
      </c>
      <c r="D16" s="987" t="s">
        <v>953</v>
      </c>
      <c r="E16" s="987" t="s">
        <v>111</v>
      </c>
      <c r="F16" s="987">
        <v>15</v>
      </c>
      <c r="G16" s="981"/>
      <c r="H16" s="982"/>
      <c r="I16" s="983"/>
      <c r="J16" s="984">
        <v>2.1</v>
      </c>
      <c r="K16" s="985"/>
      <c r="L16" s="363">
        <f t="shared" si="6"/>
        <v>2.1</v>
      </c>
      <c r="M16" s="363">
        <f t="shared" si="7"/>
        <v>0</v>
      </c>
      <c r="N16" s="363">
        <f t="shared" si="8"/>
        <v>0</v>
      </c>
      <c r="O16" s="363">
        <f t="shared" si="9"/>
        <v>31.5</v>
      </c>
      <c r="P16" s="363">
        <f t="shared" si="10"/>
        <v>0</v>
      </c>
      <c r="Q16" s="378">
        <f t="shared" si="11"/>
        <v>31.5</v>
      </c>
    </row>
    <row r="17" spans="1:17" s="56" customFormat="1">
      <c r="A17" s="358">
        <v>3</v>
      </c>
      <c r="B17" s="758"/>
      <c r="C17" s="359" t="s">
        <v>941</v>
      </c>
      <c r="D17" s="252" t="s">
        <v>942</v>
      </c>
      <c r="E17" s="252" t="s">
        <v>118</v>
      </c>
      <c r="F17" s="988">
        <v>2</v>
      </c>
      <c r="G17" s="981"/>
      <c r="H17" s="982"/>
      <c r="I17" s="983"/>
      <c r="J17" s="379">
        <v>8.9</v>
      </c>
      <c r="K17" s="985"/>
      <c r="L17" s="363">
        <f t="shared" si="6"/>
        <v>8.9</v>
      </c>
      <c r="M17" s="363">
        <f t="shared" si="7"/>
        <v>0</v>
      </c>
      <c r="N17" s="363">
        <f t="shared" si="8"/>
        <v>0</v>
      </c>
      <c r="O17" s="363">
        <f t="shared" si="9"/>
        <v>17.8</v>
      </c>
      <c r="P17" s="363">
        <f t="shared" si="10"/>
        <v>0</v>
      </c>
      <c r="Q17" s="378">
        <f t="shared" si="11"/>
        <v>17.8</v>
      </c>
    </row>
    <row r="18" spans="1:17" s="56" customFormat="1">
      <c r="A18" s="358">
        <v>4</v>
      </c>
      <c r="B18" s="758"/>
      <c r="C18" s="359" t="s">
        <v>943</v>
      </c>
      <c r="D18" s="360" t="s">
        <v>944</v>
      </c>
      <c r="E18" s="361" t="s">
        <v>136</v>
      </c>
      <c r="F18" s="252">
        <v>1</v>
      </c>
      <c r="G18" s="981"/>
      <c r="H18" s="982"/>
      <c r="I18" s="983"/>
      <c r="J18" s="379">
        <v>285</v>
      </c>
      <c r="K18" s="985"/>
      <c r="L18" s="363">
        <f t="shared" si="6"/>
        <v>285</v>
      </c>
      <c r="M18" s="363">
        <f t="shared" si="7"/>
        <v>0</v>
      </c>
      <c r="N18" s="363">
        <f t="shared" si="8"/>
        <v>0</v>
      </c>
      <c r="O18" s="363">
        <f t="shared" si="9"/>
        <v>285</v>
      </c>
      <c r="P18" s="363">
        <f t="shared" si="10"/>
        <v>0</v>
      </c>
      <c r="Q18" s="378">
        <f t="shared" si="11"/>
        <v>285</v>
      </c>
    </row>
    <row r="19" spans="1:17" s="56" customFormat="1" ht="24.9">
      <c r="A19" s="358">
        <v>5</v>
      </c>
      <c r="B19" s="758"/>
      <c r="C19" s="359" t="s">
        <v>945</v>
      </c>
      <c r="D19" s="360"/>
      <c r="E19" s="361" t="s">
        <v>118</v>
      </c>
      <c r="F19" s="252">
        <v>1</v>
      </c>
      <c r="G19" s="981"/>
      <c r="H19" s="982"/>
      <c r="I19" s="983"/>
      <c r="J19" s="379">
        <v>213</v>
      </c>
      <c r="K19" s="985"/>
      <c r="L19" s="363">
        <f t="shared" si="6"/>
        <v>213</v>
      </c>
      <c r="M19" s="363">
        <f t="shared" si="7"/>
        <v>0</v>
      </c>
      <c r="N19" s="363">
        <f t="shared" si="8"/>
        <v>0</v>
      </c>
      <c r="O19" s="363">
        <f t="shared" si="9"/>
        <v>213</v>
      </c>
      <c r="P19" s="363">
        <f t="shared" si="10"/>
        <v>0</v>
      </c>
      <c r="Q19" s="378">
        <f t="shared" si="11"/>
        <v>213</v>
      </c>
    </row>
    <row r="20" spans="1:17" s="56" customFormat="1">
      <c r="A20" s="358">
        <v>6</v>
      </c>
      <c r="B20" s="758"/>
      <c r="C20" s="359" t="s">
        <v>946</v>
      </c>
      <c r="D20" s="360"/>
      <c r="E20" s="361" t="s">
        <v>118</v>
      </c>
      <c r="F20" s="252">
        <v>2</v>
      </c>
      <c r="G20" s="981"/>
      <c r="H20" s="982"/>
      <c r="I20" s="983"/>
      <c r="J20" s="379">
        <v>3.12</v>
      </c>
      <c r="K20" s="985"/>
      <c r="L20" s="363">
        <f t="shared" si="6"/>
        <v>3.12</v>
      </c>
      <c r="M20" s="363">
        <f t="shared" si="7"/>
        <v>0</v>
      </c>
      <c r="N20" s="363">
        <f t="shared" si="8"/>
        <v>0</v>
      </c>
      <c r="O20" s="363">
        <f t="shared" si="9"/>
        <v>6.24</v>
      </c>
      <c r="P20" s="363">
        <f t="shared" si="10"/>
        <v>0</v>
      </c>
      <c r="Q20" s="378">
        <f t="shared" si="11"/>
        <v>6.24</v>
      </c>
    </row>
    <row r="21" spans="1:17" s="56" customFormat="1">
      <c r="A21" s="358">
        <v>7</v>
      </c>
      <c r="B21" s="758"/>
      <c r="C21" s="359" t="s">
        <v>947</v>
      </c>
      <c r="D21" s="360"/>
      <c r="E21" s="361" t="s">
        <v>118</v>
      </c>
      <c r="F21" s="252">
        <v>3</v>
      </c>
      <c r="G21" s="981"/>
      <c r="H21" s="982"/>
      <c r="I21" s="983"/>
      <c r="J21" s="379">
        <v>34.200000000000003</v>
      </c>
      <c r="K21" s="985"/>
      <c r="L21" s="363">
        <f t="shared" si="6"/>
        <v>34.200000000000003</v>
      </c>
      <c r="M21" s="363">
        <f t="shared" si="7"/>
        <v>0</v>
      </c>
      <c r="N21" s="363">
        <f t="shared" si="8"/>
        <v>0</v>
      </c>
      <c r="O21" s="363">
        <f t="shared" si="9"/>
        <v>102.6</v>
      </c>
      <c r="P21" s="363">
        <f t="shared" si="10"/>
        <v>0</v>
      </c>
      <c r="Q21" s="378">
        <f t="shared" si="11"/>
        <v>102.6</v>
      </c>
    </row>
    <row r="22" spans="1:17" s="56" customFormat="1">
      <c r="A22" s="358">
        <v>8</v>
      </c>
      <c r="B22" s="758"/>
      <c r="C22" s="359" t="s">
        <v>948</v>
      </c>
      <c r="D22" s="360"/>
      <c r="E22" s="361" t="s">
        <v>118</v>
      </c>
      <c r="F22" s="360">
        <v>3</v>
      </c>
      <c r="G22" s="981"/>
      <c r="H22" s="982"/>
      <c r="I22" s="983"/>
      <c r="J22" s="379">
        <v>17.7</v>
      </c>
      <c r="K22" s="985"/>
      <c r="L22" s="363">
        <f t="shared" si="6"/>
        <v>17.7</v>
      </c>
      <c r="M22" s="363">
        <f t="shared" si="7"/>
        <v>0</v>
      </c>
      <c r="N22" s="363">
        <f t="shared" si="8"/>
        <v>0</v>
      </c>
      <c r="O22" s="363">
        <f t="shared" si="9"/>
        <v>53.1</v>
      </c>
      <c r="P22" s="363">
        <f t="shared" si="10"/>
        <v>0</v>
      </c>
      <c r="Q22" s="378">
        <f t="shared" si="11"/>
        <v>53.1</v>
      </c>
    </row>
    <row r="23" spans="1:17" s="56" customFormat="1">
      <c r="A23" s="358">
        <v>9</v>
      </c>
      <c r="B23" s="758"/>
      <c r="C23" s="359" t="s">
        <v>949</v>
      </c>
      <c r="D23" s="252"/>
      <c r="E23" s="361" t="s">
        <v>118</v>
      </c>
      <c r="F23" s="360">
        <v>1</v>
      </c>
      <c r="G23" s="981"/>
      <c r="H23" s="982"/>
      <c r="I23" s="983"/>
      <c r="J23" s="379">
        <v>160</v>
      </c>
      <c r="K23" s="985"/>
      <c r="L23" s="363">
        <f t="shared" si="6"/>
        <v>160</v>
      </c>
      <c r="M23" s="363">
        <f t="shared" si="7"/>
        <v>0</v>
      </c>
      <c r="N23" s="363">
        <f t="shared" si="8"/>
        <v>0</v>
      </c>
      <c r="O23" s="363">
        <f t="shared" si="9"/>
        <v>160</v>
      </c>
      <c r="P23" s="363">
        <f t="shared" si="10"/>
        <v>0</v>
      </c>
      <c r="Q23" s="378">
        <f t="shared" si="11"/>
        <v>160</v>
      </c>
    </row>
    <row r="24" spans="1:17" s="56" customFormat="1">
      <c r="A24" s="358">
        <v>10</v>
      </c>
      <c r="B24" s="758"/>
      <c r="C24" s="359" t="s">
        <v>950</v>
      </c>
      <c r="D24" s="252"/>
      <c r="E24" s="361" t="s">
        <v>118</v>
      </c>
      <c r="F24" s="360">
        <v>1</v>
      </c>
      <c r="G24" s="981"/>
      <c r="H24" s="982"/>
      <c r="I24" s="983"/>
      <c r="J24" s="379">
        <v>15.5</v>
      </c>
      <c r="K24" s="985"/>
      <c r="L24" s="363">
        <f t="shared" si="6"/>
        <v>15.5</v>
      </c>
      <c r="M24" s="363">
        <f t="shared" si="7"/>
        <v>0</v>
      </c>
      <c r="N24" s="363">
        <f t="shared" si="8"/>
        <v>0</v>
      </c>
      <c r="O24" s="363">
        <f t="shared" si="9"/>
        <v>15.5</v>
      </c>
      <c r="P24" s="363">
        <f t="shared" si="10"/>
        <v>0</v>
      </c>
      <c r="Q24" s="378">
        <f t="shared" si="11"/>
        <v>15.5</v>
      </c>
    </row>
    <row r="25" spans="1:17" s="56" customFormat="1">
      <c r="A25" s="358">
        <v>11</v>
      </c>
      <c r="B25" s="758"/>
      <c r="C25" s="986" t="s">
        <v>1976</v>
      </c>
      <c r="D25" s="986"/>
      <c r="E25" s="989" t="s">
        <v>884</v>
      </c>
      <c r="F25" s="989">
        <v>5.5</v>
      </c>
      <c r="G25" s="981"/>
      <c r="H25" s="982"/>
      <c r="I25" s="983"/>
      <c r="J25" s="984">
        <v>6.9</v>
      </c>
      <c r="K25" s="985"/>
      <c r="L25" s="363">
        <f t="shared" si="6"/>
        <v>6.9</v>
      </c>
      <c r="M25" s="363">
        <f t="shared" si="7"/>
        <v>0</v>
      </c>
      <c r="N25" s="363">
        <f t="shared" si="8"/>
        <v>0</v>
      </c>
      <c r="O25" s="363">
        <f t="shared" si="9"/>
        <v>37.950000000000003</v>
      </c>
      <c r="P25" s="363">
        <f t="shared" si="10"/>
        <v>0</v>
      </c>
      <c r="Q25" s="378">
        <f t="shared" si="11"/>
        <v>37.950000000000003</v>
      </c>
    </row>
    <row r="26" spans="1:17" s="56" customFormat="1">
      <c r="A26" s="358">
        <v>12</v>
      </c>
      <c r="B26" s="758"/>
      <c r="C26" s="759" t="s">
        <v>951</v>
      </c>
      <c r="D26" s="355"/>
      <c r="E26" s="760" t="s">
        <v>1696</v>
      </c>
      <c r="F26" s="355">
        <v>0.1</v>
      </c>
      <c r="G26" s="981"/>
      <c r="H26" s="982"/>
      <c r="I26" s="983"/>
      <c r="J26" s="984">
        <v>22.5</v>
      </c>
      <c r="K26" s="985"/>
      <c r="L26" s="363">
        <f t="shared" si="6"/>
        <v>22.5</v>
      </c>
      <c r="M26" s="363">
        <f t="shared" si="7"/>
        <v>0</v>
      </c>
      <c r="N26" s="363">
        <f t="shared" si="8"/>
        <v>0</v>
      </c>
      <c r="O26" s="363">
        <f t="shared" si="9"/>
        <v>2.25</v>
      </c>
      <c r="P26" s="363">
        <f t="shared" si="10"/>
        <v>0</v>
      </c>
      <c r="Q26" s="378">
        <f t="shared" si="11"/>
        <v>2.25</v>
      </c>
    </row>
    <row r="27" spans="1:17" s="56" customFormat="1">
      <c r="A27" s="358">
        <v>14</v>
      </c>
      <c r="B27" s="758"/>
      <c r="C27" s="759" t="s">
        <v>954</v>
      </c>
      <c r="D27" s="355" t="s">
        <v>955</v>
      </c>
      <c r="E27" s="760" t="s">
        <v>118</v>
      </c>
      <c r="F27" s="355">
        <v>0.15</v>
      </c>
      <c r="G27" s="981"/>
      <c r="H27" s="982"/>
      <c r="I27" s="983"/>
      <c r="J27" s="379">
        <v>0.06</v>
      </c>
      <c r="K27" s="985"/>
      <c r="L27" s="363">
        <f t="shared" si="6"/>
        <v>0.06</v>
      </c>
      <c r="M27" s="363">
        <f t="shared" si="7"/>
        <v>0</v>
      </c>
      <c r="N27" s="363">
        <f t="shared" si="8"/>
        <v>0</v>
      </c>
      <c r="O27" s="363">
        <f t="shared" si="9"/>
        <v>0.01</v>
      </c>
      <c r="P27" s="363">
        <f t="shared" si="10"/>
        <v>0</v>
      </c>
      <c r="Q27" s="378">
        <f t="shared" si="11"/>
        <v>0.01</v>
      </c>
    </row>
    <row r="28" spans="1:17" s="56" customFormat="1">
      <c r="A28" s="358">
        <v>15</v>
      </c>
      <c r="B28" s="758"/>
      <c r="C28" s="359" t="s">
        <v>956</v>
      </c>
      <c r="D28" s="360" t="s">
        <v>957</v>
      </c>
      <c r="E28" s="360" t="s">
        <v>251</v>
      </c>
      <c r="F28" s="988">
        <v>1700</v>
      </c>
      <c r="G28" s="981"/>
      <c r="H28" s="982"/>
      <c r="I28" s="983"/>
      <c r="J28" s="379">
        <v>0.98</v>
      </c>
      <c r="K28" s="985"/>
      <c r="L28" s="363">
        <f t="shared" si="6"/>
        <v>0.98</v>
      </c>
      <c r="M28" s="363">
        <f t="shared" si="7"/>
        <v>0</v>
      </c>
      <c r="N28" s="363">
        <f t="shared" si="8"/>
        <v>0</v>
      </c>
      <c r="O28" s="363">
        <f t="shared" si="9"/>
        <v>1666</v>
      </c>
      <c r="P28" s="363">
        <f t="shared" si="10"/>
        <v>0</v>
      </c>
      <c r="Q28" s="378">
        <f t="shared" si="11"/>
        <v>1666</v>
      </c>
    </row>
    <row r="29" spans="1:17" s="56" customFormat="1">
      <c r="A29" s="358">
        <v>16</v>
      </c>
      <c r="B29" s="758"/>
      <c r="C29" s="359" t="s">
        <v>958</v>
      </c>
      <c r="D29" s="360" t="s">
        <v>959</v>
      </c>
      <c r="E29" s="360" t="s">
        <v>136</v>
      </c>
      <c r="F29" s="360">
        <v>1</v>
      </c>
      <c r="G29" s="981"/>
      <c r="H29" s="982"/>
      <c r="I29" s="983"/>
      <c r="J29" s="379">
        <v>65</v>
      </c>
      <c r="K29" s="985"/>
      <c r="L29" s="363">
        <f t="shared" si="6"/>
        <v>65</v>
      </c>
      <c r="M29" s="363">
        <f t="shared" si="7"/>
        <v>0</v>
      </c>
      <c r="N29" s="363">
        <f t="shared" si="8"/>
        <v>0</v>
      </c>
      <c r="O29" s="363">
        <f t="shared" si="9"/>
        <v>65</v>
      </c>
      <c r="P29" s="363">
        <f t="shared" si="10"/>
        <v>0</v>
      </c>
      <c r="Q29" s="378">
        <f t="shared" si="11"/>
        <v>65</v>
      </c>
    </row>
    <row r="30" spans="1:17" s="56" customFormat="1">
      <c r="A30" s="358">
        <v>17</v>
      </c>
      <c r="B30" s="758"/>
      <c r="C30" s="359" t="s">
        <v>952</v>
      </c>
      <c r="D30" s="252" t="s">
        <v>953</v>
      </c>
      <c r="E30" s="252" t="s">
        <v>111</v>
      </c>
      <c r="F30" s="988">
        <v>20</v>
      </c>
      <c r="G30" s="981"/>
      <c r="H30" s="982"/>
      <c r="I30" s="983"/>
      <c r="J30" s="379">
        <v>0.73</v>
      </c>
      <c r="K30" s="985"/>
      <c r="L30" s="363">
        <f t="shared" si="6"/>
        <v>0.73</v>
      </c>
      <c r="M30" s="363">
        <f t="shared" si="7"/>
        <v>0</v>
      </c>
      <c r="N30" s="363">
        <f t="shared" si="8"/>
        <v>0</v>
      </c>
      <c r="O30" s="363">
        <f t="shared" si="9"/>
        <v>14.6</v>
      </c>
      <c r="P30" s="363">
        <f t="shared" si="10"/>
        <v>0</v>
      </c>
      <c r="Q30" s="378">
        <f t="shared" si="11"/>
        <v>14.6</v>
      </c>
    </row>
    <row r="31" spans="1:17" s="56" customFormat="1">
      <c r="A31" s="358">
        <v>18</v>
      </c>
      <c r="B31" s="758"/>
      <c r="C31" s="359" t="s">
        <v>960</v>
      </c>
      <c r="D31" s="360" t="s">
        <v>961</v>
      </c>
      <c r="E31" s="360" t="s">
        <v>111</v>
      </c>
      <c r="F31" s="988">
        <v>30</v>
      </c>
      <c r="G31" s="981"/>
      <c r="H31" s="982"/>
      <c r="I31" s="983"/>
      <c r="J31" s="379">
        <v>0.26</v>
      </c>
      <c r="K31" s="985"/>
      <c r="L31" s="363">
        <f t="shared" si="6"/>
        <v>0.26</v>
      </c>
      <c r="M31" s="363">
        <f t="shared" si="7"/>
        <v>0</v>
      </c>
      <c r="N31" s="363">
        <f t="shared" si="8"/>
        <v>0</v>
      </c>
      <c r="O31" s="363">
        <f t="shared" si="9"/>
        <v>7.8</v>
      </c>
      <c r="P31" s="363">
        <f t="shared" si="10"/>
        <v>0</v>
      </c>
      <c r="Q31" s="378">
        <f t="shared" si="11"/>
        <v>7.8</v>
      </c>
    </row>
    <row r="32" spans="1:17" s="56" customFormat="1">
      <c r="A32" s="358">
        <v>19</v>
      </c>
      <c r="B32" s="758"/>
      <c r="C32" s="359" t="s">
        <v>962</v>
      </c>
      <c r="D32" s="360"/>
      <c r="E32" s="360" t="s">
        <v>136</v>
      </c>
      <c r="F32" s="360">
        <v>2</v>
      </c>
      <c r="G32" s="981"/>
      <c r="H32" s="982"/>
      <c r="I32" s="983"/>
      <c r="J32" s="379">
        <v>254</v>
      </c>
      <c r="K32" s="985"/>
      <c r="L32" s="363">
        <f t="shared" si="6"/>
        <v>254</v>
      </c>
      <c r="M32" s="363">
        <f t="shared" si="7"/>
        <v>0</v>
      </c>
      <c r="N32" s="363">
        <f t="shared" si="8"/>
        <v>0</v>
      </c>
      <c r="O32" s="363">
        <f t="shared" si="9"/>
        <v>508</v>
      </c>
      <c r="P32" s="363">
        <f t="shared" si="10"/>
        <v>0</v>
      </c>
      <c r="Q32" s="378">
        <f t="shared" si="11"/>
        <v>508</v>
      </c>
    </row>
    <row r="33" spans="1:17" s="56" customFormat="1">
      <c r="A33" s="358"/>
      <c r="B33" s="758"/>
      <c r="C33" s="364" t="s">
        <v>963</v>
      </c>
      <c r="D33" s="360"/>
      <c r="E33" s="360"/>
      <c r="F33" s="360"/>
      <c r="G33" s="981"/>
      <c r="H33" s="982"/>
      <c r="I33" s="983"/>
      <c r="J33" s="984"/>
      <c r="K33" s="985"/>
      <c r="L33" s="363">
        <f t="shared" si="6"/>
        <v>0</v>
      </c>
      <c r="M33" s="363">
        <f t="shared" si="7"/>
        <v>0</v>
      </c>
      <c r="N33" s="363">
        <f t="shared" si="8"/>
        <v>0</v>
      </c>
      <c r="O33" s="363">
        <f t="shared" si="9"/>
        <v>0</v>
      </c>
      <c r="P33" s="363">
        <f t="shared" si="10"/>
        <v>0</v>
      </c>
      <c r="Q33" s="378">
        <f t="shared" si="11"/>
        <v>0</v>
      </c>
    </row>
    <row r="34" spans="1:17" s="56" customFormat="1" ht="24.9">
      <c r="A34" s="358">
        <v>20</v>
      </c>
      <c r="B34" s="758"/>
      <c r="C34" s="365" t="s">
        <v>964</v>
      </c>
      <c r="D34" s="360" t="s">
        <v>965</v>
      </c>
      <c r="E34" s="360" t="s">
        <v>136</v>
      </c>
      <c r="F34" s="360">
        <v>1</v>
      </c>
      <c r="G34" s="981"/>
      <c r="H34" s="982"/>
      <c r="I34" s="983"/>
      <c r="J34" s="379">
        <v>4749.66</v>
      </c>
      <c r="K34" s="985"/>
      <c r="L34" s="363">
        <f t="shared" si="6"/>
        <v>4749.66</v>
      </c>
      <c r="M34" s="363">
        <f t="shared" si="7"/>
        <v>0</v>
      </c>
      <c r="N34" s="363">
        <f t="shared" si="8"/>
        <v>0</v>
      </c>
      <c r="O34" s="363">
        <f t="shared" si="9"/>
        <v>4749.66</v>
      </c>
      <c r="P34" s="363">
        <f t="shared" si="10"/>
        <v>0</v>
      </c>
      <c r="Q34" s="378">
        <f t="shared" si="11"/>
        <v>4749.66</v>
      </c>
    </row>
    <row r="35" spans="1:17" s="56" customFormat="1" ht="24.9">
      <c r="A35" s="358">
        <v>21</v>
      </c>
      <c r="B35" s="758"/>
      <c r="C35" s="365" t="s">
        <v>966</v>
      </c>
      <c r="D35" s="360" t="s">
        <v>967</v>
      </c>
      <c r="E35" s="360" t="s">
        <v>136</v>
      </c>
      <c r="F35" s="360">
        <v>1</v>
      </c>
      <c r="G35" s="981"/>
      <c r="H35" s="982"/>
      <c r="I35" s="983"/>
      <c r="J35" s="379">
        <v>1165</v>
      </c>
      <c r="K35" s="985"/>
      <c r="L35" s="363">
        <f t="shared" si="6"/>
        <v>1165</v>
      </c>
      <c r="M35" s="363">
        <f t="shared" si="7"/>
        <v>0</v>
      </c>
      <c r="N35" s="363">
        <f t="shared" si="8"/>
        <v>0</v>
      </c>
      <c r="O35" s="363">
        <f t="shared" si="9"/>
        <v>1165</v>
      </c>
      <c r="P35" s="363">
        <f t="shared" si="10"/>
        <v>0</v>
      </c>
      <c r="Q35" s="378">
        <f t="shared" si="11"/>
        <v>1165</v>
      </c>
    </row>
    <row r="36" spans="1:17" s="56" customFormat="1" ht="49.75">
      <c r="A36" s="358">
        <v>22</v>
      </c>
      <c r="B36" s="758"/>
      <c r="C36" s="365" t="s">
        <v>968</v>
      </c>
      <c r="D36" s="360" t="s">
        <v>969</v>
      </c>
      <c r="E36" s="360" t="s">
        <v>136</v>
      </c>
      <c r="F36" s="360">
        <v>2</v>
      </c>
      <c r="G36" s="981"/>
      <c r="H36" s="982"/>
      <c r="I36" s="983"/>
      <c r="J36" s="379">
        <v>1288</v>
      </c>
      <c r="K36" s="985"/>
      <c r="L36" s="363">
        <f t="shared" si="6"/>
        <v>1288</v>
      </c>
      <c r="M36" s="363">
        <f t="shared" si="7"/>
        <v>0</v>
      </c>
      <c r="N36" s="363">
        <f t="shared" si="8"/>
        <v>0</v>
      </c>
      <c r="O36" s="363">
        <f t="shared" si="9"/>
        <v>2576</v>
      </c>
      <c r="P36" s="363">
        <f t="shared" si="10"/>
        <v>0</v>
      </c>
      <c r="Q36" s="378">
        <f t="shared" si="11"/>
        <v>2576</v>
      </c>
    </row>
    <row r="37" spans="1:17" s="56" customFormat="1">
      <c r="A37" s="366"/>
      <c r="B37" s="758"/>
      <c r="C37" s="218" t="s">
        <v>970</v>
      </c>
      <c r="D37" s="367"/>
      <c r="E37" s="368"/>
      <c r="F37" s="369"/>
      <c r="G37" s="981"/>
      <c r="H37" s="982"/>
      <c r="I37" s="983"/>
      <c r="J37" s="984"/>
      <c r="K37" s="985"/>
      <c r="L37" s="363">
        <f t="shared" si="6"/>
        <v>0</v>
      </c>
      <c r="M37" s="363">
        <f t="shared" si="7"/>
        <v>0</v>
      </c>
      <c r="N37" s="363">
        <f t="shared" si="8"/>
        <v>0</v>
      </c>
      <c r="O37" s="363">
        <f t="shared" si="9"/>
        <v>0</v>
      </c>
      <c r="P37" s="363">
        <f t="shared" si="10"/>
        <v>0</v>
      </c>
      <c r="Q37" s="378">
        <f t="shared" si="11"/>
        <v>0</v>
      </c>
    </row>
    <row r="38" spans="1:17" s="56" customFormat="1" ht="24.9">
      <c r="A38" s="370">
        <v>21</v>
      </c>
      <c r="B38" s="758"/>
      <c r="C38" s="776" t="s">
        <v>1977</v>
      </c>
      <c r="D38" s="758"/>
      <c r="E38" s="761" t="s">
        <v>971</v>
      </c>
      <c r="F38" s="990">
        <v>47.8</v>
      </c>
      <c r="G38" s="255">
        <v>0.7</v>
      </c>
      <c r="H38" s="258">
        <v>10</v>
      </c>
      <c r="I38" s="363">
        <f t="shared" ref="I38:I42" si="12">ROUND(G38*H38,2)</f>
        <v>7</v>
      </c>
      <c r="J38" s="379"/>
      <c r="K38" s="762">
        <v>1</v>
      </c>
      <c r="L38" s="363">
        <f t="shared" si="6"/>
        <v>8</v>
      </c>
      <c r="M38" s="363">
        <f t="shared" si="7"/>
        <v>33.46</v>
      </c>
      <c r="N38" s="363">
        <f t="shared" si="8"/>
        <v>334.6</v>
      </c>
      <c r="O38" s="363">
        <f t="shared" si="9"/>
        <v>0</v>
      </c>
      <c r="P38" s="363">
        <f t="shared" si="10"/>
        <v>47.8</v>
      </c>
      <c r="Q38" s="378">
        <f t="shared" si="11"/>
        <v>382.40000000000003</v>
      </c>
    </row>
    <row r="39" spans="1:17" s="56" customFormat="1" ht="24.9">
      <c r="A39" s="370">
        <f>A38+1</f>
        <v>22</v>
      </c>
      <c r="B39" s="758"/>
      <c r="C39" s="359" t="s">
        <v>972</v>
      </c>
      <c r="D39" s="758"/>
      <c r="E39" s="761" t="s">
        <v>111</v>
      </c>
      <c r="F39" s="990">
        <v>85.6</v>
      </c>
      <c r="G39" s="255">
        <v>0.5</v>
      </c>
      <c r="H39" s="258">
        <v>10</v>
      </c>
      <c r="I39" s="363">
        <f t="shared" si="12"/>
        <v>5</v>
      </c>
      <c r="J39" s="379"/>
      <c r="K39" s="762">
        <v>0.71</v>
      </c>
      <c r="L39" s="363">
        <f t="shared" si="6"/>
        <v>5.71</v>
      </c>
      <c r="M39" s="363">
        <f t="shared" si="7"/>
        <v>42.8</v>
      </c>
      <c r="N39" s="363">
        <f t="shared" si="8"/>
        <v>428</v>
      </c>
      <c r="O39" s="363">
        <f t="shared" si="9"/>
        <v>0</v>
      </c>
      <c r="P39" s="363">
        <f t="shared" si="10"/>
        <v>60.78</v>
      </c>
      <c r="Q39" s="378">
        <f t="shared" si="11"/>
        <v>488.78</v>
      </c>
    </row>
    <row r="40" spans="1:17" s="56" customFormat="1">
      <c r="A40" s="370">
        <f t="shared" ref="A40:A54" si="13">A39+1</f>
        <v>23</v>
      </c>
      <c r="B40" s="758"/>
      <c r="C40" s="359" t="s">
        <v>973</v>
      </c>
      <c r="D40" s="758"/>
      <c r="E40" s="371" t="s">
        <v>136</v>
      </c>
      <c r="F40" s="372">
        <v>1</v>
      </c>
      <c r="G40" s="255">
        <v>1.3</v>
      </c>
      <c r="H40" s="258">
        <v>10</v>
      </c>
      <c r="I40" s="363">
        <f t="shared" si="12"/>
        <v>13</v>
      </c>
      <c r="J40" s="379"/>
      <c r="K40" s="762">
        <v>1.85</v>
      </c>
      <c r="L40" s="363">
        <f t="shared" si="6"/>
        <v>14.85</v>
      </c>
      <c r="M40" s="363">
        <f t="shared" si="7"/>
        <v>1.3</v>
      </c>
      <c r="N40" s="363">
        <f t="shared" si="8"/>
        <v>13</v>
      </c>
      <c r="O40" s="363">
        <f t="shared" si="9"/>
        <v>0</v>
      </c>
      <c r="P40" s="363">
        <f t="shared" si="10"/>
        <v>1.85</v>
      </c>
      <c r="Q40" s="378">
        <f t="shared" si="11"/>
        <v>14.85</v>
      </c>
    </row>
    <row r="41" spans="1:17" s="56" customFormat="1">
      <c r="A41" s="370">
        <f t="shared" si="13"/>
        <v>24</v>
      </c>
      <c r="B41" s="758"/>
      <c r="C41" s="359" t="s">
        <v>974</v>
      </c>
      <c r="D41" s="758"/>
      <c r="E41" s="371" t="s">
        <v>136</v>
      </c>
      <c r="F41" s="371">
        <v>1</v>
      </c>
      <c r="G41" s="255">
        <v>1</v>
      </c>
      <c r="H41" s="258">
        <v>10</v>
      </c>
      <c r="I41" s="363">
        <f t="shared" si="12"/>
        <v>10</v>
      </c>
      <c r="J41" s="379"/>
      <c r="K41" s="762">
        <v>1.43</v>
      </c>
      <c r="L41" s="363">
        <f t="shared" si="6"/>
        <v>11.43</v>
      </c>
      <c r="M41" s="363">
        <f t="shared" si="7"/>
        <v>1</v>
      </c>
      <c r="N41" s="363">
        <f t="shared" si="8"/>
        <v>10</v>
      </c>
      <c r="O41" s="363">
        <f t="shared" si="9"/>
        <v>0</v>
      </c>
      <c r="P41" s="363">
        <f t="shared" si="10"/>
        <v>1.43</v>
      </c>
      <c r="Q41" s="378">
        <f t="shared" si="11"/>
        <v>11.43</v>
      </c>
    </row>
    <row r="42" spans="1:17" s="56" customFormat="1">
      <c r="A42" s="370">
        <f t="shared" si="13"/>
        <v>25</v>
      </c>
      <c r="B42" s="758"/>
      <c r="C42" s="359" t="s">
        <v>975</v>
      </c>
      <c r="D42" s="758"/>
      <c r="E42" s="371" t="s">
        <v>111</v>
      </c>
      <c r="F42" s="991">
        <v>20</v>
      </c>
      <c r="G42" s="375">
        <v>1.6</v>
      </c>
      <c r="H42" s="258">
        <v>10</v>
      </c>
      <c r="I42" s="363">
        <f t="shared" si="12"/>
        <v>16</v>
      </c>
      <c r="J42" s="379"/>
      <c r="K42" s="762">
        <v>0.12</v>
      </c>
      <c r="L42" s="363">
        <f t="shared" si="6"/>
        <v>16.12</v>
      </c>
      <c r="M42" s="363">
        <f t="shared" si="7"/>
        <v>32</v>
      </c>
      <c r="N42" s="363">
        <f t="shared" si="8"/>
        <v>320</v>
      </c>
      <c r="O42" s="363">
        <f t="shared" si="9"/>
        <v>0</v>
      </c>
      <c r="P42" s="363">
        <f t="shared" si="10"/>
        <v>2.4</v>
      </c>
      <c r="Q42" s="378">
        <f t="shared" si="11"/>
        <v>322.39999999999998</v>
      </c>
    </row>
    <row r="43" spans="1:17" s="56" customFormat="1">
      <c r="A43" s="370">
        <f t="shared" si="13"/>
        <v>26</v>
      </c>
      <c r="B43" s="758"/>
      <c r="C43" s="359" t="s">
        <v>976</v>
      </c>
      <c r="D43" s="758"/>
      <c r="E43" s="371" t="s">
        <v>29</v>
      </c>
      <c r="F43" s="991">
        <v>4</v>
      </c>
      <c r="G43" s="258">
        <v>0.6</v>
      </c>
      <c r="H43" s="373">
        <v>10</v>
      </c>
      <c r="I43" s="363">
        <v>3.6</v>
      </c>
      <c r="J43" s="379">
        <v>18.2</v>
      </c>
      <c r="K43" s="379">
        <v>4.0999999999999996</v>
      </c>
      <c r="L43" s="363">
        <f t="shared" si="6"/>
        <v>25.9</v>
      </c>
      <c r="M43" s="363">
        <f t="shared" si="7"/>
        <v>2.4</v>
      </c>
      <c r="N43" s="363">
        <f t="shared" si="8"/>
        <v>14.4</v>
      </c>
      <c r="O43" s="363">
        <f t="shared" si="9"/>
        <v>72.8</v>
      </c>
      <c r="P43" s="363">
        <f t="shared" si="10"/>
        <v>16.399999999999999</v>
      </c>
      <c r="Q43" s="378">
        <f t="shared" si="11"/>
        <v>103.6</v>
      </c>
    </row>
    <row r="44" spans="1:17" s="56" customFormat="1">
      <c r="A44" s="370">
        <f t="shared" si="13"/>
        <v>27</v>
      </c>
      <c r="B44" s="758"/>
      <c r="C44" s="359" t="s">
        <v>977</v>
      </c>
      <c r="D44" s="758"/>
      <c r="E44" s="371" t="s">
        <v>29</v>
      </c>
      <c r="F44" s="991">
        <v>2.9</v>
      </c>
      <c r="G44" s="258">
        <v>0.12</v>
      </c>
      <c r="H44" s="373">
        <v>10</v>
      </c>
      <c r="I44" s="363">
        <f t="shared" ref="I44:I48" si="14">ROUND(G44*H44,2)</f>
        <v>1.2</v>
      </c>
      <c r="J44" s="379">
        <v>1.1000000000000001</v>
      </c>
      <c r="K44" s="379">
        <v>0.25</v>
      </c>
      <c r="L44" s="363">
        <f t="shared" si="6"/>
        <v>2.5499999999999998</v>
      </c>
      <c r="M44" s="363">
        <f t="shared" si="7"/>
        <v>0.35</v>
      </c>
      <c r="N44" s="363">
        <f t="shared" si="8"/>
        <v>3.48</v>
      </c>
      <c r="O44" s="363">
        <f t="shared" si="9"/>
        <v>3.19</v>
      </c>
      <c r="P44" s="363">
        <f t="shared" si="10"/>
        <v>0.73</v>
      </c>
      <c r="Q44" s="378">
        <f t="shared" si="11"/>
        <v>7.4</v>
      </c>
    </row>
    <row r="45" spans="1:17" s="56" customFormat="1" ht="24.9">
      <c r="A45" s="370">
        <f t="shared" si="13"/>
        <v>28</v>
      </c>
      <c r="B45" s="758"/>
      <c r="C45" s="359" t="s">
        <v>978</v>
      </c>
      <c r="D45" s="758"/>
      <c r="E45" s="761" t="s">
        <v>136</v>
      </c>
      <c r="F45" s="761">
        <v>1</v>
      </c>
      <c r="G45" s="709">
        <v>1.5</v>
      </c>
      <c r="H45" s="258">
        <v>10</v>
      </c>
      <c r="I45" s="363">
        <f t="shared" si="14"/>
        <v>15</v>
      </c>
      <c r="J45" s="379"/>
      <c r="K45" s="762">
        <v>2.14</v>
      </c>
      <c r="L45" s="363">
        <f t="shared" si="6"/>
        <v>17.14</v>
      </c>
      <c r="M45" s="363">
        <f t="shared" si="7"/>
        <v>1.5</v>
      </c>
      <c r="N45" s="363">
        <f t="shared" si="8"/>
        <v>15</v>
      </c>
      <c r="O45" s="363">
        <f t="shared" si="9"/>
        <v>0</v>
      </c>
      <c r="P45" s="363">
        <f t="shared" si="10"/>
        <v>2.14</v>
      </c>
      <c r="Q45" s="378">
        <f t="shared" si="11"/>
        <v>17.14</v>
      </c>
    </row>
    <row r="46" spans="1:17" s="56" customFormat="1">
      <c r="A46" s="370">
        <f t="shared" si="13"/>
        <v>29</v>
      </c>
      <c r="B46" s="758"/>
      <c r="C46" s="359" t="s">
        <v>979</v>
      </c>
      <c r="D46" s="758"/>
      <c r="E46" s="371" t="s">
        <v>118</v>
      </c>
      <c r="F46" s="991">
        <v>96</v>
      </c>
      <c r="G46" s="255">
        <v>0.45</v>
      </c>
      <c r="H46" s="258">
        <v>10</v>
      </c>
      <c r="I46" s="363">
        <f t="shared" si="14"/>
        <v>4.5</v>
      </c>
      <c r="J46" s="379"/>
      <c r="K46" s="762">
        <v>0.66</v>
      </c>
      <c r="L46" s="363">
        <f t="shared" si="6"/>
        <v>5.16</v>
      </c>
      <c r="M46" s="363">
        <f t="shared" si="7"/>
        <v>43.2</v>
      </c>
      <c r="N46" s="363">
        <f t="shared" si="8"/>
        <v>432</v>
      </c>
      <c r="O46" s="363">
        <f t="shared" si="9"/>
        <v>0</v>
      </c>
      <c r="P46" s="363">
        <f t="shared" si="10"/>
        <v>63.36</v>
      </c>
      <c r="Q46" s="378">
        <f t="shared" si="11"/>
        <v>495.36</v>
      </c>
    </row>
    <row r="47" spans="1:17" s="56" customFormat="1">
      <c r="A47" s="370">
        <f t="shared" si="13"/>
        <v>30</v>
      </c>
      <c r="B47" s="758"/>
      <c r="C47" s="359" t="s">
        <v>980</v>
      </c>
      <c r="D47" s="758"/>
      <c r="E47" s="371" t="s">
        <v>111</v>
      </c>
      <c r="F47" s="991">
        <v>1270</v>
      </c>
      <c r="G47" s="375">
        <v>0.12</v>
      </c>
      <c r="H47" s="258">
        <v>10</v>
      </c>
      <c r="I47" s="363">
        <f t="shared" si="14"/>
        <v>1.2</v>
      </c>
      <c r="J47" s="379"/>
      <c r="K47" s="762">
        <v>0.1</v>
      </c>
      <c r="L47" s="363">
        <f t="shared" si="6"/>
        <v>1.3</v>
      </c>
      <c r="M47" s="363">
        <f t="shared" si="7"/>
        <v>152.4</v>
      </c>
      <c r="N47" s="363">
        <f t="shared" si="8"/>
        <v>1524</v>
      </c>
      <c r="O47" s="363">
        <f t="shared" si="9"/>
        <v>0</v>
      </c>
      <c r="P47" s="363">
        <f t="shared" si="10"/>
        <v>127</v>
      </c>
      <c r="Q47" s="378">
        <f t="shared" si="11"/>
        <v>1651</v>
      </c>
    </row>
    <row r="48" spans="1:17" s="56" customFormat="1">
      <c r="A48" s="370">
        <f t="shared" si="13"/>
        <v>31</v>
      </c>
      <c r="B48" s="758"/>
      <c r="C48" s="359" t="s">
        <v>981</v>
      </c>
      <c r="D48" s="758"/>
      <c r="E48" s="371" t="s">
        <v>111</v>
      </c>
      <c r="F48" s="991">
        <v>140</v>
      </c>
      <c r="G48" s="374">
        <v>0.1</v>
      </c>
      <c r="H48" s="258">
        <v>10</v>
      </c>
      <c r="I48" s="363">
        <f t="shared" si="14"/>
        <v>1</v>
      </c>
      <c r="J48" s="379"/>
      <c r="K48" s="762">
        <v>0.14000000000000001</v>
      </c>
      <c r="L48" s="363">
        <f t="shared" si="6"/>
        <v>1.1400000000000001</v>
      </c>
      <c r="M48" s="363">
        <f t="shared" si="7"/>
        <v>14</v>
      </c>
      <c r="N48" s="363">
        <f t="shared" si="8"/>
        <v>140</v>
      </c>
      <c r="O48" s="363">
        <f t="shared" si="9"/>
        <v>0</v>
      </c>
      <c r="P48" s="363">
        <f t="shared" si="10"/>
        <v>19.600000000000001</v>
      </c>
      <c r="Q48" s="378">
        <f t="shared" si="11"/>
        <v>159.6</v>
      </c>
    </row>
    <row r="49" spans="1:17" s="56" customFormat="1">
      <c r="A49" s="370">
        <f t="shared" si="13"/>
        <v>32</v>
      </c>
      <c r="B49" s="758"/>
      <c r="C49" s="359" t="s">
        <v>982</v>
      </c>
      <c r="D49" s="758"/>
      <c r="E49" s="371" t="s">
        <v>111</v>
      </c>
      <c r="F49" s="991">
        <v>300</v>
      </c>
      <c r="G49" s="375">
        <v>0.2</v>
      </c>
      <c r="H49" s="258">
        <v>10</v>
      </c>
      <c r="I49" s="363">
        <f>ROUND(G49*H49,2)</f>
        <v>2</v>
      </c>
      <c r="J49" s="379"/>
      <c r="K49" s="762">
        <v>0.1</v>
      </c>
      <c r="L49" s="363">
        <f t="shared" si="6"/>
        <v>2.1</v>
      </c>
      <c r="M49" s="363">
        <f t="shared" si="7"/>
        <v>60</v>
      </c>
      <c r="N49" s="363">
        <f t="shared" si="8"/>
        <v>600</v>
      </c>
      <c r="O49" s="363">
        <f t="shared" si="9"/>
        <v>0</v>
      </c>
      <c r="P49" s="363">
        <f t="shared" si="10"/>
        <v>30</v>
      </c>
      <c r="Q49" s="378">
        <f t="shared" si="11"/>
        <v>630</v>
      </c>
    </row>
    <row r="50" spans="1:17" s="56" customFormat="1">
      <c r="A50" s="370">
        <f t="shared" si="13"/>
        <v>33</v>
      </c>
      <c r="B50" s="758"/>
      <c r="C50" s="359" t="s">
        <v>983</v>
      </c>
      <c r="D50" s="758"/>
      <c r="E50" s="371" t="s">
        <v>884</v>
      </c>
      <c r="F50" s="991">
        <v>0.9</v>
      </c>
      <c r="G50" s="258">
        <f t="shared" ref="G50" si="15">IF(H50&gt;0,5,0)</f>
        <v>0</v>
      </c>
      <c r="H50" s="379"/>
      <c r="I50" s="379"/>
      <c r="J50" s="379"/>
      <c r="K50" s="762">
        <v>15</v>
      </c>
      <c r="L50" s="363">
        <f t="shared" si="6"/>
        <v>15</v>
      </c>
      <c r="M50" s="363">
        <f t="shared" si="7"/>
        <v>0</v>
      </c>
      <c r="N50" s="363">
        <f t="shared" si="8"/>
        <v>0</v>
      </c>
      <c r="O50" s="363">
        <f t="shared" si="9"/>
        <v>0</v>
      </c>
      <c r="P50" s="363">
        <f t="shared" si="10"/>
        <v>13.5</v>
      </c>
      <c r="Q50" s="378">
        <f t="shared" si="11"/>
        <v>13.5</v>
      </c>
    </row>
    <row r="51" spans="1:17" s="56" customFormat="1">
      <c r="A51" s="370">
        <f t="shared" si="13"/>
        <v>34</v>
      </c>
      <c r="B51" s="758"/>
      <c r="C51" s="376" t="s">
        <v>984</v>
      </c>
      <c r="D51" s="758"/>
      <c r="E51" s="252" t="s">
        <v>136</v>
      </c>
      <c r="F51" s="380">
        <v>1</v>
      </c>
      <c r="G51" s="255">
        <v>18</v>
      </c>
      <c r="H51" s="362">
        <v>10</v>
      </c>
      <c r="I51" s="363">
        <f>ROUND(G51*H51,2)</f>
        <v>180</v>
      </c>
      <c r="J51" s="379"/>
      <c r="K51" s="377">
        <f>I51*0.15</f>
        <v>27</v>
      </c>
      <c r="L51" s="363">
        <f t="shared" si="6"/>
        <v>207</v>
      </c>
      <c r="M51" s="363">
        <f t="shared" si="7"/>
        <v>18</v>
      </c>
      <c r="N51" s="363">
        <f t="shared" si="8"/>
        <v>180</v>
      </c>
      <c r="O51" s="363">
        <f t="shared" si="9"/>
        <v>0</v>
      </c>
      <c r="P51" s="363">
        <f t="shared" si="10"/>
        <v>27</v>
      </c>
      <c r="Q51" s="378">
        <f t="shared" si="11"/>
        <v>207</v>
      </c>
    </row>
    <row r="52" spans="1:17" s="56" customFormat="1">
      <c r="A52" s="370">
        <f t="shared" si="13"/>
        <v>35</v>
      </c>
      <c r="B52" s="758"/>
      <c r="C52" s="376" t="s">
        <v>985</v>
      </c>
      <c r="D52" s="758"/>
      <c r="E52" s="252" t="s">
        <v>136</v>
      </c>
      <c r="F52" s="380">
        <v>1</v>
      </c>
      <c r="G52" s="255">
        <v>12</v>
      </c>
      <c r="H52" s="362">
        <v>10</v>
      </c>
      <c r="I52" s="363">
        <f>ROUND(G52*H52,2)</f>
        <v>120</v>
      </c>
      <c r="J52" s="379"/>
      <c r="K52" s="377">
        <f>I52*0.15</f>
        <v>18</v>
      </c>
      <c r="L52" s="363">
        <f t="shared" si="6"/>
        <v>138</v>
      </c>
      <c r="M52" s="363">
        <f t="shared" si="7"/>
        <v>12</v>
      </c>
      <c r="N52" s="363">
        <f t="shared" si="8"/>
        <v>120</v>
      </c>
      <c r="O52" s="363">
        <f t="shared" si="9"/>
        <v>0</v>
      </c>
      <c r="P52" s="363">
        <f t="shared" si="10"/>
        <v>18</v>
      </c>
      <c r="Q52" s="378">
        <f t="shared" si="11"/>
        <v>138</v>
      </c>
    </row>
    <row r="53" spans="1:17" s="56" customFormat="1">
      <c r="A53" s="370">
        <f t="shared" si="13"/>
        <v>36</v>
      </c>
      <c r="B53" s="758"/>
      <c r="C53" s="376" t="s">
        <v>986</v>
      </c>
      <c r="D53" s="758"/>
      <c r="E53" s="252" t="s">
        <v>136</v>
      </c>
      <c r="F53" s="380">
        <v>1</v>
      </c>
      <c r="G53" s="255">
        <v>15</v>
      </c>
      <c r="H53" s="362">
        <v>10</v>
      </c>
      <c r="I53" s="363">
        <f t="shared" ref="I53:I54" si="16">ROUND(G53*H53,2)</f>
        <v>150</v>
      </c>
      <c r="J53" s="379"/>
      <c r="K53" s="377">
        <f t="shared" ref="K53:K54" si="17">I53*0.15</f>
        <v>22.5</v>
      </c>
      <c r="L53" s="363">
        <f t="shared" si="6"/>
        <v>172.5</v>
      </c>
      <c r="M53" s="363">
        <f t="shared" si="7"/>
        <v>15</v>
      </c>
      <c r="N53" s="363">
        <f t="shared" si="8"/>
        <v>150</v>
      </c>
      <c r="O53" s="363">
        <f t="shared" si="9"/>
        <v>0</v>
      </c>
      <c r="P53" s="363">
        <f t="shared" si="10"/>
        <v>22.5</v>
      </c>
      <c r="Q53" s="378">
        <f t="shared" si="11"/>
        <v>172.5</v>
      </c>
    </row>
    <row r="54" spans="1:17" s="56" customFormat="1">
      <c r="A54" s="370">
        <f t="shared" si="13"/>
        <v>37</v>
      </c>
      <c r="B54" s="758"/>
      <c r="C54" s="359" t="s">
        <v>987</v>
      </c>
      <c r="D54" s="758"/>
      <c r="E54" s="252" t="s">
        <v>136</v>
      </c>
      <c r="F54" s="371">
        <v>1</v>
      </c>
      <c r="G54" s="255">
        <v>10</v>
      </c>
      <c r="H54" s="362">
        <v>10</v>
      </c>
      <c r="I54" s="363">
        <f t="shared" si="16"/>
        <v>100</v>
      </c>
      <c r="J54" s="379"/>
      <c r="K54" s="377">
        <f t="shared" si="17"/>
        <v>15</v>
      </c>
      <c r="L54" s="363">
        <f t="shared" si="6"/>
        <v>115</v>
      </c>
      <c r="M54" s="363">
        <f t="shared" si="7"/>
        <v>10</v>
      </c>
      <c r="N54" s="363">
        <f t="shared" si="8"/>
        <v>100</v>
      </c>
      <c r="O54" s="363">
        <f t="shared" si="9"/>
        <v>0</v>
      </c>
      <c r="P54" s="363">
        <f t="shared" si="10"/>
        <v>15</v>
      </c>
      <c r="Q54" s="378">
        <f t="shared" si="11"/>
        <v>115</v>
      </c>
    </row>
    <row r="55" spans="1:17">
      <c r="A55" s="225"/>
      <c r="B55" s="302"/>
      <c r="C55" s="381"/>
      <c r="D55" s="381"/>
      <c r="E55" s="382"/>
      <c r="F55" s="229"/>
      <c r="G55" s="383"/>
      <c r="H55" s="383"/>
      <c r="I55" s="230"/>
      <c r="J55" s="229"/>
      <c r="K55" s="229"/>
      <c r="L55" s="229"/>
      <c r="M55" s="383"/>
      <c r="N55" s="229"/>
      <c r="O55" s="229"/>
      <c r="P55" s="229"/>
      <c r="Q55" s="243"/>
    </row>
    <row r="56" spans="1:17" ht="15.05" customHeight="1">
      <c r="A56" s="206"/>
      <c r="B56" s="206"/>
      <c r="C56" s="951" t="s">
        <v>99</v>
      </c>
      <c r="D56" s="951"/>
      <c r="E56" s="952"/>
      <c r="F56" s="952"/>
      <c r="G56" s="952"/>
      <c r="H56" s="952"/>
      <c r="I56" s="952"/>
      <c r="J56" s="952"/>
      <c r="K56" s="952"/>
      <c r="L56" s="952"/>
      <c r="M56" s="208">
        <f>SUM(M13:M55)</f>
        <v>439.40999999999997</v>
      </c>
      <c r="N56" s="208">
        <f>SUM(N13:N55)</f>
        <v>4384.4799999999996</v>
      </c>
      <c r="O56" s="208">
        <f>SUM(O13:O55)</f>
        <v>11995.199999999999</v>
      </c>
      <c r="P56" s="208">
        <f>SUM(P13:P55)</f>
        <v>469.49</v>
      </c>
      <c r="Q56" s="208">
        <f>SUM(Q13:Q55)</f>
        <v>16849.169999999998</v>
      </c>
    </row>
    <row r="57" spans="1:17" s="125" customFormat="1" collapsed="1">
      <c r="J57" s="146"/>
    </row>
    <row r="58" spans="1:17" s="122" customFormat="1" ht="12.8" customHeight="1">
      <c r="B58" s="147" t="s">
        <v>54</v>
      </c>
    </row>
    <row r="59" spans="1:17" s="122" customFormat="1" ht="45" customHeight="1">
      <c r="A59" s="926" t="str">
        <f>'3,1'!A53:H53</f>
        <v xml:space="preserve"> Būvuzņēmējam jādod pilna apjoma tendera cenu piedāvājums, ieskaitot palīgdarbus  un materiālus, kas nav uzrādīti tāmē, apjomu sarakstā un projektā, bet ir nepieciešami projektētā būvobjekta izbūvei un nodošanai ekspluatācijā.</v>
      </c>
      <c r="B59" s="926"/>
      <c r="C59" s="926"/>
      <c r="D59" s="926"/>
      <c r="E59" s="926"/>
      <c r="F59" s="926"/>
      <c r="G59" s="926"/>
      <c r="H59" s="926"/>
      <c r="I59" s="926"/>
      <c r="J59" s="926"/>
      <c r="K59" s="926"/>
      <c r="L59" s="926"/>
      <c r="M59" s="926"/>
      <c r="N59" s="926"/>
      <c r="O59" s="926"/>
      <c r="P59" s="926"/>
      <c r="Q59" s="926"/>
    </row>
    <row r="60" spans="1:17" s="122" customFormat="1" ht="73.5" customHeight="1">
      <c r="A60" s="925">
        <f>'3,1'!$A$54</f>
        <v>0</v>
      </c>
      <c r="B60" s="925"/>
      <c r="C60" s="925"/>
      <c r="D60" s="925"/>
      <c r="E60" s="925"/>
      <c r="F60" s="925"/>
      <c r="G60" s="925"/>
      <c r="H60" s="925"/>
      <c r="I60" s="925"/>
      <c r="J60" s="925"/>
      <c r="K60" s="925"/>
      <c r="L60" s="925"/>
      <c r="M60" s="925"/>
      <c r="N60" s="925"/>
      <c r="O60" s="925"/>
      <c r="P60" s="925"/>
      <c r="Q60" s="925"/>
    </row>
    <row r="61" spans="1:17" s="122" customFormat="1" ht="12.8" customHeight="1">
      <c r="B61" s="148"/>
    </row>
    <row r="62" spans="1:17" s="122" customFormat="1" ht="12.8" customHeight="1">
      <c r="B62" s="148"/>
    </row>
    <row r="63" spans="1:17" s="125" customFormat="1">
      <c r="B63" s="125" t="str">
        <f>'3,3'!B52</f>
        <v>Sastādīja:</v>
      </c>
      <c r="M63" s="125" t="str">
        <f>'3,3'!M52</f>
        <v>Pārbaudīja:</v>
      </c>
    </row>
    <row r="64" spans="1:17" s="125" customFormat="1">
      <c r="C64" s="164" t="str">
        <f>'3,3'!C53</f>
        <v>Arnis Gailītis</v>
      </c>
      <c r="D64" s="191"/>
      <c r="M64" s="164"/>
      <c r="N64" s="922" t="str">
        <f>'3,3'!N53</f>
        <v>Dzintra Cīrule</v>
      </c>
      <c r="O64" s="922"/>
    </row>
    <row r="65" spans="2:15" s="125" customFormat="1">
      <c r="C65" s="165" t="str">
        <f>'3,3'!C54</f>
        <v>Sertifikāta Nr.20-5643</v>
      </c>
      <c r="D65" s="192"/>
      <c r="M65" s="165"/>
      <c r="N65" s="923" t="str">
        <f>'3,3'!N54</f>
        <v>Sertifikāta Nr.10-0363</v>
      </c>
      <c r="O65" s="923"/>
    </row>
    <row r="66" spans="2:15" s="125" customFormat="1" collapsed="1">
      <c r="B66" s="146"/>
      <c r="G66" s="146"/>
      <c r="H66" s="146"/>
    </row>
  </sheetData>
  <mergeCells count="18">
    <mergeCell ref="N65:O65"/>
    <mergeCell ref="G11:L11"/>
    <mergeCell ref="M11:Q11"/>
    <mergeCell ref="C56:L56"/>
    <mergeCell ref="N64:O64"/>
    <mergeCell ref="A60:Q60"/>
    <mergeCell ref="A59:Q59"/>
    <mergeCell ref="A11:A12"/>
    <mergeCell ref="B11:B12"/>
    <mergeCell ref="E11:E12"/>
    <mergeCell ref="F11:F12"/>
    <mergeCell ref="C11:D12"/>
    <mergeCell ref="C13:D13"/>
    <mergeCell ref="A2:Q2"/>
    <mergeCell ref="E3:Q3"/>
    <mergeCell ref="E4:Q4"/>
    <mergeCell ref="E5:Q5"/>
    <mergeCell ref="M9:P9"/>
  </mergeCells>
  <printOptions horizontalCentered="1"/>
  <pageMargins left="0.27559055118110237" right="0.27559055118110237" top="0.74803149606299213" bottom="0.74803149606299213" header="0.31496062992125984" footer="0.31496062992125984"/>
  <pageSetup paperSize="9" scale="69"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74"/>
  <sheetViews>
    <sheetView showZeros="0" view="pageBreakPreview" topLeftCell="A7" zoomScale="90" zoomScaleNormal="100" zoomScaleSheetLayoutView="90" workbookViewId="0">
      <selection activeCell="L23" sqref="L23"/>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3.625" style="19" customWidth="1"/>
    <col min="17" max="16384" width="9.125" style="19"/>
  </cols>
  <sheetData>
    <row r="1" spans="1:16" s="24" customFormat="1">
      <c r="E1" s="21"/>
      <c r="F1" s="21"/>
      <c r="G1" s="181" t="s">
        <v>92</v>
      </c>
      <c r="H1" s="110" t="str">
        <f>kops3!B25</f>
        <v>3,5</v>
      </c>
      <c r="I1" s="53"/>
    </row>
    <row r="2" spans="1:16" s="24" customFormat="1">
      <c r="A2" s="919" t="str">
        <f>C13</f>
        <v>Ārējie siltumtīkli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P64</f>
        <v>12198.849999999999</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2.85">
      <c r="A12" s="927"/>
      <c r="B12" s="935"/>
      <c r="C12" s="930"/>
      <c r="D12" s="931"/>
      <c r="E12" s="927"/>
      <c r="F12" s="166" t="s">
        <v>26</v>
      </c>
      <c r="G12" s="166" t="s">
        <v>58</v>
      </c>
      <c r="H12" s="166" t="s">
        <v>59</v>
      </c>
      <c r="I12" s="187" t="s">
        <v>95</v>
      </c>
      <c r="J12" s="166" t="s">
        <v>60</v>
      </c>
      <c r="K12" s="166" t="s">
        <v>61</v>
      </c>
      <c r="L12" s="166" t="s">
        <v>18</v>
      </c>
      <c r="M12" s="166" t="s">
        <v>59</v>
      </c>
      <c r="N12" s="187" t="s">
        <v>95</v>
      </c>
      <c r="O12" s="166" t="s">
        <v>60</v>
      </c>
      <c r="P12" s="166" t="s">
        <v>62</v>
      </c>
    </row>
    <row r="13" spans="1:16" ht="15.05">
      <c r="A13" s="209"/>
      <c r="B13" s="210">
        <v>0</v>
      </c>
      <c r="C13" s="211" t="str">
        <f>kops3!C25</f>
        <v>Ārējie siltumtīkli</v>
      </c>
      <c r="D13" s="212"/>
      <c r="E13" s="213"/>
      <c r="F13" s="251">
        <v>0</v>
      </c>
      <c r="G13" s="251">
        <v>0</v>
      </c>
      <c r="H13" s="216">
        <v>0</v>
      </c>
      <c r="I13" s="215">
        <v>0</v>
      </c>
      <c r="J13" s="215">
        <v>0</v>
      </c>
      <c r="K13" s="215">
        <f t="shared" ref="K13" si="0">SUM(H13:J13)</f>
        <v>0</v>
      </c>
      <c r="L13" s="214">
        <f t="shared" ref="L13" si="1">ROUND(F13*E13,2)</f>
        <v>0</v>
      </c>
      <c r="M13" s="215">
        <f t="shared" ref="M13" si="2">ROUND(H13*E13,2)</f>
        <v>0</v>
      </c>
      <c r="N13" s="215">
        <f t="shared" ref="N13" si="3">ROUND(I13*E13,2)</f>
        <v>0</v>
      </c>
      <c r="O13" s="215">
        <f t="shared" ref="O13" si="4">ROUND(J13*E13,2)</f>
        <v>0</v>
      </c>
      <c r="P13" s="244">
        <f t="shared" ref="P13" si="5">SUM(M13:O13)</f>
        <v>0</v>
      </c>
    </row>
    <row r="14" spans="1:16" s="56" customFormat="1">
      <c r="A14" s="695"/>
      <c r="B14" s="281"/>
      <c r="C14" s="384" t="s">
        <v>988</v>
      </c>
      <c r="D14" s="385"/>
      <c r="E14" s="385"/>
      <c r="F14" s="275"/>
      <c r="G14" s="275"/>
      <c r="H14" s="316"/>
      <c r="I14" s="316"/>
      <c r="J14" s="316"/>
      <c r="K14" s="221"/>
      <c r="L14" s="221"/>
      <c r="M14" s="221"/>
      <c r="N14" s="221"/>
      <c r="O14" s="221"/>
      <c r="P14" s="357"/>
    </row>
    <row r="15" spans="1:16" s="56" customFormat="1">
      <c r="A15" s="261">
        <v>1</v>
      </c>
      <c r="B15" s="583"/>
      <c r="C15" s="263" t="s">
        <v>989</v>
      </c>
      <c r="D15" s="264" t="s">
        <v>111</v>
      </c>
      <c r="E15" s="386">
        <v>57</v>
      </c>
      <c r="F15" s="275">
        <f t="shared" ref="F15:F52" si="6">IFERROR(ROUND(H15/G15,2),0)</f>
        <v>0</v>
      </c>
      <c r="G15" s="275">
        <f t="shared" ref="G15:G52" si="7">IF(H15&gt;0,5,0)</f>
        <v>0</v>
      </c>
      <c r="H15" s="316"/>
      <c r="I15" s="316">
        <v>45.06</v>
      </c>
      <c r="J15" s="316"/>
      <c r="K15" s="222">
        <f>SUM(H15:J15)</f>
        <v>45.06</v>
      </c>
      <c r="L15" s="222">
        <f t="shared" ref="L15" si="8">ROUND(F15*E15,2)</f>
        <v>0</v>
      </c>
      <c r="M15" s="222">
        <f t="shared" ref="M15" si="9">ROUND(H15*E15,2)</f>
        <v>0</v>
      </c>
      <c r="N15" s="222">
        <f t="shared" ref="N15" si="10">ROUND(I15*E15,2)</f>
        <v>2568.42</v>
      </c>
      <c r="O15" s="222">
        <f t="shared" ref="O15" si="11">ROUND(J15*E15,2)</f>
        <v>0</v>
      </c>
      <c r="P15" s="250">
        <f t="shared" ref="P15" si="12">SUM(M15:O15)</f>
        <v>2568.42</v>
      </c>
    </row>
    <row r="16" spans="1:16" s="56" customFormat="1">
      <c r="A16" s="261">
        <f>A15+1</f>
        <v>2</v>
      </c>
      <c r="B16" s="583"/>
      <c r="C16" s="263" t="s">
        <v>990</v>
      </c>
      <c r="D16" s="264" t="s">
        <v>111</v>
      </c>
      <c r="E16" s="386">
        <v>4</v>
      </c>
      <c r="F16" s="275">
        <f t="shared" si="6"/>
        <v>0</v>
      </c>
      <c r="G16" s="275">
        <f t="shared" si="7"/>
        <v>0</v>
      </c>
      <c r="H16" s="316"/>
      <c r="I16" s="316">
        <v>67.39</v>
      </c>
      <c r="J16" s="316"/>
      <c r="K16" s="222">
        <f t="shared" ref="K16:K62" si="13">SUM(H16:J16)</f>
        <v>67.39</v>
      </c>
      <c r="L16" s="222">
        <f t="shared" ref="L16:L62" si="14">ROUND(F16*E16,2)</f>
        <v>0</v>
      </c>
      <c r="M16" s="222">
        <f t="shared" ref="M16:M62" si="15">ROUND(H16*E16,2)</f>
        <v>0</v>
      </c>
      <c r="N16" s="222">
        <f t="shared" ref="N16:N62" si="16">ROUND(I16*E16,2)</f>
        <v>269.56</v>
      </c>
      <c r="O16" s="222">
        <f t="shared" ref="O16:O62" si="17">ROUND(J16*E16,2)</f>
        <v>0</v>
      </c>
      <c r="P16" s="250">
        <f t="shared" ref="P16:P62" si="18">SUM(M16:O16)</f>
        <v>269.56</v>
      </c>
    </row>
    <row r="17" spans="1:16" s="56" customFormat="1">
      <c r="A17" s="261">
        <f t="shared" ref="A17:A38" si="19">A16+1</f>
        <v>3</v>
      </c>
      <c r="B17" s="583"/>
      <c r="C17" s="263" t="s">
        <v>991</v>
      </c>
      <c r="D17" s="264" t="s">
        <v>111</v>
      </c>
      <c r="E17" s="386">
        <v>2</v>
      </c>
      <c r="F17" s="275">
        <f t="shared" si="6"/>
        <v>0</v>
      </c>
      <c r="G17" s="275">
        <f t="shared" si="7"/>
        <v>0</v>
      </c>
      <c r="H17" s="316"/>
      <c r="I17" s="316">
        <v>7.04</v>
      </c>
      <c r="J17" s="316"/>
      <c r="K17" s="222">
        <f t="shared" si="13"/>
        <v>7.04</v>
      </c>
      <c r="L17" s="222">
        <f t="shared" si="14"/>
        <v>0</v>
      </c>
      <c r="M17" s="222">
        <f t="shared" si="15"/>
        <v>0</v>
      </c>
      <c r="N17" s="222">
        <f t="shared" si="16"/>
        <v>14.08</v>
      </c>
      <c r="O17" s="222">
        <f t="shared" si="17"/>
        <v>0</v>
      </c>
      <c r="P17" s="250">
        <f t="shared" si="18"/>
        <v>14.08</v>
      </c>
    </row>
    <row r="18" spans="1:16" s="56" customFormat="1" ht="24.9">
      <c r="A18" s="261">
        <f t="shared" si="19"/>
        <v>4</v>
      </c>
      <c r="B18" s="583"/>
      <c r="C18" s="263" t="s">
        <v>992</v>
      </c>
      <c r="D18" s="264" t="s">
        <v>118</v>
      </c>
      <c r="E18" s="386">
        <v>2</v>
      </c>
      <c r="F18" s="275">
        <f t="shared" si="6"/>
        <v>0</v>
      </c>
      <c r="G18" s="275">
        <f t="shared" si="7"/>
        <v>0</v>
      </c>
      <c r="H18" s="316"/>
      <c r="I18" s="316">
        <v>268.2</v>
      </c>
      <c r="J18" s="316"/>
      <c r="K18" s="222">
        <f t="shared" si="13"/>
        <v>268.2</v>
      </c>
      <c r="L18" s="222">
        <f t="shared" si="14"/>
        <v>0</v>
      </c>
      <c r="M18" s="222">
        <f t="shared" si="15"/>
        <v>0</v>
      </c>
      <c r="N18" s="222">
        <f t="shared" si="16"/>
        <v>536.4</v>
      </c>
      <c r="O18" s="222">
        <f t="shared" si="17"/>
        <v>0</v>
      </c>
      <c r="P18" s="250">
        <f t="shared" si="18"/>
        <v>536.4</v>
      </c>
    </row>
    <row r="19" spans="1:16" s="56" customFormat="1">
      <c r="A19" s="261">
        <f t="shared" si="19"/>
        <v>5</v>
      </c>
      <c r="B19" s="583"/>
      <c r="C19" s="263" t="s">
        <v>993</v>
      </c>
      <c r="D19" s="264" t="s">
        <v>118</v>
      </c>
      <c r="E19" s="386">
        <v>2</v>
      </c>
      <c r="F19" s="275">
        <f t="shared" si="6"/>
        <v>0</v>
      </c>
      <c r="G19" s="275">
        <f t="shared" si="7"/>
        <v>0</v>
      </c>
      <c r="H19" s="316"/>
      <c r="I19" s="316">
        <v>218.26</v>
      </c>
      <c r="J19" s="316"/>
      <c r="K19" s="222">
        <f t="shared" si="13"/>
        <v>218.26</v>
      </c>
      <c r="L19" s="222">
        <f t="shared" si="14"/>
        <v>0</v>
      </c>
      <c r="M19" s="222">
        <f t="shared" si="15"/>
        <v>0</v>
      </c>
      <c r="N19" s="222">
        <f t="shared" si="16"/>
        <v>436.52</v>
      </c>
      <c r="O19" s="222">
        <f t="shared" si="17"/>
        <v>0</v>
      </c>
      <c r="P19" s="250">
        <f t="shared" si="18"/>
        <v>436.52</v>
      </c>
    </row>
    <row r="20" spans="1:16" s="56" customFormat="1" ht="74.650000000000006">
      <c r="A20" s="261">
        <f t="shared" si="19"/>
        <v>6</v>
      </c>
      <c r="B20" s="583"/>
      <c r="C20" s="263" t="s">
        <v>994</v>
      </c>
      <c r="D20" s="264" t="s">
        <v>136</v>
      </c>
      <c r="E20" s="386">
        <v>2</v>
      </c>
      <c r="F20" s="275">
        <f t="shared" si="6"/>
        <v>0</v>
      </c>
      <c r="G20" s="275">
        <f t="shared" si="7"/>
        <v>0</v>
      </c>
      <c r="H20" s="316"/>
      <c r="I20" s="267">
        <v>168</v>
      </c>
      <c r="J20" s="316"/>
      <c r="K20" s="222">
        <f t="shared" si="13"/>
        <v>168</v>
      </c>
      <c r="L20" s="222">
        <f t="shared" si="14"/>
        <v>0</v>
      </c>
      <c r="M20" s="222">
        <f t="shared" si="15"/>
        <v>0</v>
      </c>
      <c r="N20" s="222">
        <f t="shared" si="16"/>
        <v>336</v>
      </c>
      <c r="O20" s="222">
        <f t="shared" si="17"/>
        <v>0</v>
      </c>
      <c r="P20" s="250">
        <f t="shared" si="18"/>
        <v>336</v>
      </c>
    </row>
    <row r="21" spans="1:16" s="56" customFormat="1" ht="49.75">
      <c r="A21" s="261">
        <f t="shared" si="19"/>
        <v>7</v>
      </c>
      <c r="B21" s="583"/>
      <c r="C21" s="280" t="s">
        <v>995</v>
      </c>
      <c r="D21" s="264" t="s">
        <v>118</v>
      </c>
      <c r="E21" s="386">
        <v>22</v>
      </c>
      <c r="F21" s="275">
        <f t="shared" si="6"/>
        <v>0</v>
      </c>
      <c r="G21" s="275">
        <f t="shared" si="7"/>
        <v>0</v>
      </c>
      <c r="H21" s="316"/>
      <c r="I21" s="267">
        <v>48.2</v>
      </c>
      <c r="J21" s="316"/>
      <c r="K21" s="222">
        <f t="shared" si="13"/>
        <v>48.2</v>
      </c>
      <c r="L21" s="222">
        <f t="shared" si="14"/>
        <v>0</v>
      </c>
      <c r="M21" s="222">
        <f t="shared" si="15"/>
        <v>0</v>
      </c>
      <c r="N21" s="222">
        <f t="shared" si="16"/>
        <v>1060.4000000000001</v>
      </c>
      <c r="O21" s="222">
        <f t="shared" si="17"/>
        <v>0</v>
      </c>
      <c r="P21" s="250">
        <f t="shared" si="18"/>
        <v>1060.4000000000001</v>
      </c>
    </row>
    <row r="22" spans="1:16" s="56" customFormat="1" ht="49.75">
      <c r="A22" s="261">
        <f t="shared" si="19"/>
        <v>8</v>
      </c>
      <c r="B22" s="583"/>
      <c r="C22" s="280" t="s">
        <v>996</v>
      </c>
      <c r="D22" s="264" t="s">
        <v>118</v>
      </c>
      <c r="E22" s="386">
        <v>6</v>
      </c>
      <c r="F22" s="275">
        <f t="shared" si="6"/>
        <v>0</v>
      </c>
      <c r="G22" s="275">
        <f t="shared" si="7"/>
        <v>0</v>
      </c>
      <c r="H22" s="316"/>
      <c r="I22" s="267">
        <v>62.38</v>
      </c>
      <c r="J22" s="316"/>
      <c r="K22" s="222">
        <f t="shared" si="13"/>
        <v>62.38</v>
      </c>
      <c r="L22" s="222">
        <f t="shared" si="14"/>
        <v>0</v>
      </c>
      <c r="M22" s="222">
        <f t="shared" si="15"/>
        <v>0</v>
      </c>
      <c r="N22" s="222">
        <f t="shared" si="16"/>
        <v>374.28</v>
      </c>
      <c r="O22" s="222">
        <f t="shared" si="17"/>
        <v>0</v>
      </c>
      <c r="P22" s="250">
        <f t="shared" si="18"/>
        <v>374.28</v>
      </c>
    </row>
    <row r="23" spans="1:16" s="56" customFormat="1" ht="24.9">
      <c r="A23" s="261">
        <f t="shared" si="19"/>
        <v>9</v>
      </c>
      <c r="B23" s="583"/>
      <c r="C23" s="263" t="s">
        <v>997</v>
      </c>
      <c r="D23" s="264" t="s">
        <v>118</v>
      </c>
      <c r="E23" s="386">
        <v>4</v>
      </c>
      <c r="F23" s="275">
        <f t="shared" si="6"/>
        <v>0</v>
      </c>
      <c r="G23" s="275">
        <f t="shared" si="7"/>
        <v>0</v>
      </c>
      <c r="H23" s="316"/>
      <c r="I23" s="267">
        <v>32.020000000000003</v>
      </c>
      <c r="J23" s="316"/>
      <c r="K23" s="222">
        <f t="shared" si="13"/>
        <v>32.020000000000003</v>
      </c>
      <c r="L23" s="222">
        <f t="shared" si="14"/>
        <v>0</v>
      </c>
      <c r="M23" s="222">
        <f t="shared" si="15"/>
        <v>0</v>
      </c>
      <c r="N23" s="222">
        <f t="shared" si="16"/>
        <v>128.08000000000001</v>
      </c>
      <c r="O23" s="222">
        <f t="shared" si="17"/>
        <v>0</v>
      </c>
      <c r="P23" s="250">
        <f t="shared" si="18"/>
        <v>128.08000000000001</v>
      </c>
    </row>
    <row r="24" spans="1:16" s="56" customFormat="1" ht="24.9">
      <c r="A24" s="261">
        <v>10</v>
      </c>
      <c r="B24" s="583"/>
      <c r="C24" s="263" t="s">
        <v>998</v>
      </c>
      <c r="D24" s="264" t="s">
        <v>999</v>
      </c>
      <c r="E24" s="386">
        <v>2</v>
      </c>
      <c r="F24" s="275"/>
      <c r="G24" s="275"/>
      <c r="H24" s="316"/>
      <c r="I24" s="267">
        <v>83.13</v>
      </c>
      <c r="J24" s="316"/>
      <c r="K24" s="222">
        <f t="shared" si="13"/>
        <v>83.13</v>
      </c>
      <c r="L24" s="222">
        <f t="shared" si="14"/>
        <v>0</v>
      </c>
      <c r="M24" s="222">
        <f t="shared" si="15"/>
        <v>0</v>
      </c>
      <c r="N24" s="222">
        <f t="shared" si="16"/>
        <v>166.26</v>
      </c>
      <c r="O24" s="222">
        <f t="shared" si="17"/>
        <v>0</v>
      </c>
      <c r="P24" s="250">
        <f t="shared" si="18"/>
        <v>166.26</v>
      </c>
    </row>
    <row r="25" spans="1:16" s="56" customFormat="1" ht="24.9">
      <c r="A25" s="261">
        <v>11</v>
      </c>
      <c r="B25" s="583"/>
      <c r="C25" s="263" t="s">
        <v>1000</v>
      </c>
      <c r="D25" s="264" t="s">
        <v>118</v>
      </c>
      <c r="E25" s="386">
        <v>2</v>
      </c>
      <c r="F25" s="275">
        <f t="shared" si="6"/>
        <v>0</v>
      </c>
      <c r="G25" s="275">
        <f t="shared" si="7"/>
        <v>0</v>
      </c>
      <c r="H25" s="316"/>
      <c r="I25" s="267">
        <v>128.18</v>
      </c>
      <c r="J25" s="316"/>
      <c r="K25" s="222">
        <f t="shared" si="13"/>
        <v>128.18</v>
      </c>
      <c r="L25" s="222">
        <f t="shared" si="14"/>
        <v>0</v>
      </c>
      <c r="M25" s="222">
        <f t="shared" si="15"/>
        <v>0</v>
      </c>
      <c r="N25" s="222">
        <f t="shared" si="16"/>
        <v>256.36</v>
      </c>
      <c r="O25" s="222">
        <f t="shared" si="17"/>
        <v>0</v>
      </c>
      <c r="P25" s="250">
        <f t="shared" si="18"/>
        <v>256.36</v>
      </c>
    </row>
    <row r="26" spans="1:16" s="56" customFormat="1">
      <c r="A26" s="261">
        <f t="shared" si="19"/>
        <v>12</v>
      </c>
      <c r="B26" s="583"/>
      <c r="C26" s="263" t="s">
        <v>1001</v>
      </c>
      <c r="D26" s="264" t="s">
        <v>118</v>
      </c>
      <c r="E26" s="264">
        <v>2</v>
      </c>
      <c r="F26" s="275">
        <f t="shared" si="6"/>
        <v>0</v>
      </c>
      <c r="G26" s="275">
        <f t="shared" si="7"/>
        <v>0</v>
      </c>
      <c r="H26" s="316"/>
      <c r="I26" s="316">
        <v>3.29</v>
      </c>
      <c r="J26" s="316"/>
      <c r="K26" s="222">
        <f t="shared" si="13"/>
        <v>3.29</v>
      </c>
      <c r="L26" s="222">
        <f t="shared" si="14"/>
        <v>0</v>
      </c>
      <c r="M26" s="222">
        <f t="shared" si="15"/>
        <v>0</v>
      </c>
      <c r="N26" s="222">
        <f t="shared" si="16"/>
        <v>6.58</v>
      </c>
      <c r="O26" s="222">
        <f t="shared" si="17"/>
        <v>0</v>
      </c>
      <c r="P26" s="250">
        <f t="shared" si="18"/>
        <v>6.58</v>
      </c>
    </row>
    <row r="27" spans="1:16" s="56" customFormat="1">
      <c r="A27" s="261">
        <f t="shared" si="19"/>
        <v>13</v>
      </c>
      <c r="B27" s="583"/>
      <c r="C27" s="263" t="s">
        <v>1002</v>
      </c>
      <c r="D27" s="264" t="s">
        <v>118</v>
      </c>
      <c r="E27" s="264">
        <v>2</v>
      </c>
      <c r="F27" s="275">
        <f t="shared" si="6"/>
        <v>0</v>
      </c>
      <c r="G27" s="275">
        <f t="shared" si="7"/>
        <v>0</v>
      </c>
      <c r="H27" s="316"/>
      <c r="I27" s="316">
        <v>57.72</v>
      </c>
      <c r="J27" s="316"/>
      <c r="K27" s="222">
        <f t="shared" si="13"/>
        <v>57.72</v>
      </c>
      <c r="L27" s="222">
        <f t="shared" si="14"/>
        <v>0</v>
      </c>
      <c r="M27" s="222">
        <f t="shared" si="15"/>
        <v>0</v>
      </c>
      <c r="N27" s="222">
        <f t="shared" si="16"/>
        <v>115.44</v>
      </c>
      <c r="O27" s="222">
        <f t="shared" si="17"/>
        <v>0</v>
      </c>
      <c r="P27" s="250">
        <f t="shared" si="18"/>
        <v>115.44</v>
      </c>
    </row>
    <row r="28" spans="1:16" s="56" customFormat="1">
      <c r="A28" s="261">
        <f t="shared" si="19"/>
        <v>14</v>
      </c>
      <c r="B28" s="583"/>
      <c r="C28" s="263" t="s">
        <v>1003</v>
      </c>
      <c r="D28" s="264" t="s">
        <v>118</v>
      </c>
      <c r="E28" s="264">
        <v>4</v>
      </c>
      <c r="F28" s="275">
        <f t="shared" si="6"/>
        <v>0</v>
      </c>
      <c r="G28" s="275">
        <f t="shared" si="7"/>
        <v>0</v>
      </c>
      <c r="H28" s="316"/>
      <c r="I28" s="316">
        <v>23.6</v>
      </c>
      <c r="J28" s="316"/>
      <c r="K28" s="222">
        <f t="shared" si="13"/>
        <v>23.6</v>
      </c>
      <c r="L28" s="222">
        <f t="shared" si="14"/>
        <v>0</v>
      </c>
      <c r="M28" s="222">
        <f t="shared" si="15"/>
        <v>0</v>
      </c>
      <c r="N28" s="222">
        <f t="shared" si="16"/>
        <v>94.4</v>
      </c>
      <c r="O28" s="222">
        <f t="shared" si="17"/>
        <v>0</v>
      </c>
      <c r="P28" s="250">
        <f t="shared" si="18"/>
        <v>94.4</v>
      </c>
    </row>
    <row r="29" spans="1:16" s="56" customFormat="1">
      <c r="A29" s="261">
        <f t="shared" si="19"/>
        <v>15</v>
      </c>
      <c r="B29" s="583"/>
      <c r="C29" s="263" t="s">
        <v>1004</v>
      </c>
      <c r="D29" s="264" t="s">
        <v>1005</v>
      </c>
      <c r="E29" s="264">
        <v>0.2</v>
      </c>
      <c r="F29" s="275">
        <f t="shared" si="6"/>
        <v>0</v>
      </c>
      <c r="G29" s="275">
        <f t="shared" si="7"/>
        <v>0</v>
      </c>
      <c r="H29" s="316"/>
      <c r="I29" s="316">
        <v>13.73</v>
      </c>
      <c r="J29" s="316"/>
      <c r="K29" s="222">
        <f t="shared" si="13"/>
        <v>13.73</v>
      </c>
      <c r="L29" s="222">
        <f t="shared" si="14"/>
        <v>0</v>
      </c>
      <c r="M29" s="222">
        <f t="shared" si="15"/>
        <v>0</v>
      </c>
      <c r="N29" s="222">
        <f t="shared" si="16"/>
        <v>2.75</v>
      </c>
      <c r="O29" s="222">
        <f t="shared" si="17"/>
        <v>0</v>
      </c>
      <c r="P29" s="250">
        <f t="shared" si="18"/>
        <v>2.75</v>
      </c>
    </row>
    <row r="30" spans="1:16" s="56" customFormat="1">
      <c r="A30" s="261">
        <f t="shared" si="19"/>
        <v>16</v>
      </c>
      <c r="B30" s="583"/>
      <c r="C30" s="263" t="s">
        <v>1006</v>
      </c>
      <c r="D30" s="264" t="s">
        <v>111</v>
      </c>
      <c r="E30" s="264">
        <v>1</v>
      </c>
      <c r="F30" s="275">
        <f t="shared" si="6"/>
        <v>0</v>
      </c>
      <c r="G30" s="275">
        <f t="shared" si="7"/>
        <v>0</v>
      </c>
      <c r="H30" s="316"/>
      <c r="I30" s="316">
        <v>11.88</v>
      </c>
      <c r="J30" s="316"/>
      <c r="K30" s="222">
        <f t="shared" si="13"/>
        <v>11.88</v>
      </c>
      <c r="L30" s="222">
        <f t="shared" si="14"/>
        <v>0</v>
      </c>
      <c r="M30" s="222">
        <f t="shared" si="15"/>
        <v>0</v>
      </c>
      <c r="N30" s="222">
        <f t="shared" si="16"/>
        <v>11.88</v>
      </c>
      <c r="O30" s="222">
        <f t="shared" si="17"/>
        <v>0</v>
      </c>
      <c r="P30" s="250">
        <f t="shared" si="18"/>
        <v>11.88</v>
      </c>
    </row>
    <row r="31" spans="1:16" s="56" customFormat="1">
      <c r="A31" s="261">
        <f t="shared" si="19"/>
        <v>17</v>
      </c>
      <c r="B31" s="583"/>
      <c r="C31" s="263" t="s">
        <v>1007</v>
      </c>
      <c r="D31" s="264" t="s">
        <v>111</v>
      </c>
      <c r="E31" s="264">
        <v>1</v>
      </c>
      <c r="F31" s="275">
        <f t="shared" si="6"/>
        <v>0</v>
      </c>
      <c r="G31" s="275">
        <f t="shared" si="7"/>
        <v>0</v>
      </c>
      <c r="H31" s="316"/>
      <c r="I31" s="316">
        <v>12.37</v>
      </c>
      <c r="J31" s="316"/>
      <c r="K31" s="222">
        <f t="shared" si="13"/>
        <v>12.37</v>
      </c>
      <c r="L31" s="222">
        <f t="shared" si="14"/>
        <v>0</v>
      </c>
      <c r="M31" s="222">
        <f t="shared" si="15"/>
        <v>0</v>
      </c>
      <c r="N31" s="222">
        <f t="shared" si="16"/>
        <v>12.37</v>
      </c>
      <c r="O31" s="222">
        <f t="shared" si="17"/>
        <v>0</v>
      </c>
      <c r="P31" s="250">
        <f t="shared" si="18"/>
        <v>12.37</v>
      </c>
    </row>
    <row r="32" spans="1:16" s="56" customFormat="1">
      <c r="A32" s="261">
        <f t="shared" si="19"/>
        <v>18</v>
      </c>
      <c r="B32" s="583"/>
      <c r="C32" s="263" t="s">
        <v>1008</v>
      </c>
      <c r="D32" s="264" t="s">
        <v>136</v>
      </c>
      <c r="E32" s="264">
        <v>1</v>
      </c>
      <c r="F32" s="275">
        <f t="shared" si="6"/>
        <v>0</v>
      </c>
      <c r="G32" s="275">
        <f t="shared" si="7"/>
        <v>0</v>
      </c>
      <c r="H32" s="316"/>
      <c r="I32" s="267">
        <v>25</v>
      </c>
      <c r="J32" s="316"/>
      <c r="K32" s="222">
        <f t="shared" si="13"/>
        <v>25</v>
      </c>
      <c r="L32" s="222">
        <f t="shared" si="14"/>
        <v>0</v>
      </c>
      <c r="M32" s="222">
        <f t="shared" si="15"/>
        <v>0</v>
      </c>
      <c r="N32" s="222">
        <f t="shared" si="16"/>
        <v>25</v>
      </c>
      <c r="O32" s="222">
        <f t="shared" si="17"/>
        <v>0</v>
      </c>
      <c r="P32" s="250">
        <f t="shared" si="18"/>
        <v>25</v>
      </c>
    </row>
    <row r="33" spans="1:16" s="56" customFormat="1">
      <c r="A33" s="261">
        <f t="shared" si="19"/>
        <v>19</v>
      </c>
      <c r="B33" s="583"/>
      <c r="C33" s="263" t="s">
        <v>1009</v>
      </c>
      <c r="D33" s="264" t="s">
        <v>136</v>
      </c>
      <c r="E33" s="264">
        <v>1</v>
      </c>
      <c r="F33" s="275">
        <f t="shared" si="6"/>
        <v>0</v>
      </c>
      <c r="G33" s="275">
        <f t="shared" si="7"/>
        <v>0</v>
      </c>
      <c r="H33" s="316"/>
      <c r="I33" s="267">
        <v>18</v>
      </c>
      <c r="J33" s="316"/>
      <c r="K33" s="222">
        <f t="shared" si="13"/>
        <v>18</v>
      </c>
      <c r="L33" s="222">
        <f t="shared" si="14"/>
        <v>0</v>
      </c>
      <c r="M33" s="222">
        <f t="shared" si="15"/>
        <v>0</v>
      </c>
      <c r="N33" s="222">
        <f t="shared" si="16"/>
        <v>18</v>
      </c>
      <c r="O33" s="222">
        <f t="shared" si="17"/>
        <v>0</v>
      </c>
      <c r="P33" s="250">
        <f t="shared" si="18"/>
        <v>18</v>
      </c>
    </row>
    <row r="34" spans="1:16" s="56" customFormat="1">
      <c r="A34" s="261">
        <f t="shared" si="19"/>
        <v>20</v>
      </c>
      <c r="B34" s="583"/>
      <c r="C34" s="263" t="s">
        <v>1010</v>
      </c>
      <c r="D34" s="264" t="s">
        <v>136</v>
      </c>
      <c r="E34" s="264">
        <v>1</v>
      </c>
      <c r="F34" s="275">
        <f t="shared" si="6"/>
        <v>0</v>
      </c>
      <c r="G34" s="275">
        <f t="shared" si="7"/>
        <v>0</v>
      </c>
      <c r="H34" s="316"/>
      <c r="I34" s="267">
        <v>476</v>
      </c>
      <c r="J34" s="316"/>
      <c r="K34" s="222">
        <f t="shared" si="13"/>
        <v>476</v>
      </c>
      <c r="L34" s="222">
        <f t="shared" si="14"/>
        <v>0</v>
      </c>
      <c r="M34" s="222">
        <f t="shared" si="15"/>
        <v>0</v>
      </c>
      <c r="N34" s="222">
        <f t="shared" si="16"/>
        <v>476</v>
      </c>
      <c r="O34" s="222">
        <f t="shared" si="17"/>
        <v>0</v>
      </c>
      <c r="P34" s="250">
        <f t="shared" si="18"/>
        <v>476</v>
      </c>
    </row>
    <row r="35" spans="1:16" s="56" customFormat="1">
      <c r="A35" s="261">
        <f t="shared" si="19"/>
        <v>21</v>
      </c>
      <c r="B35" s="583"/>
      <c r="C35" s="263" t="s">
        <v>1011</v>
      </c>
      <c r="D35" s="264" t="s">
        <v>111</v>
      </c>
      <c r="E35" s="264">
        <v>12</v>
      </c>
      <c r="F35" s="275">
        <f t="shared" si="6"/>
        <v>0</v>
      </c>
      <c r="G35" s="275">
        <f t="shared" si="7"/>
        <v>0</v>
      </c>
      <c r="H35" s="316"/>
      <c r="I35" s="267">
        <v>2.1</v>
      </c>
      <c r="J35" s="316"/>
      <c r="K35" s="222">
        <f t="shared" si="13"/>
        <v>2.1</v>
      </c>
      <c r="L35" s="222">
        <f t="shared" si="14"/>
        <v>0</v>
      </c>
      <c r="M35" s="222">
        <f t="shared" si="15"/>
        <v>0</v>
      </c>
      <c r="N35" s="222">
        <f t="shared" si="16"/>
        <v>25.2</v>
      </c>
      <c r="O35" s="222">
        <f t="shared" si="17"/>
        <v>0</v>
      </c>
      <c r="P35" s="250">
        <f t="shared" si="18"/>
        <v>25.2</v>
      </c>
    </row>
    <row r="36" spans="1:16" s="56" customFormat="1">
      <c r="A36" s="261">
        <f t="shared" si="19"/>
        <v>22</v>
      </c>
      <c r="B36" s="583"/>
      <c r="C36" s="263" t="s">
        <v>1012</v>
      </c>
      <c r="D36" s="264" t="s">
        <v>111</v>
      </c>
      <c r="E36" s="386">
        <v>75</v>
      </c>
      <c r="F36" s="275">
        <f t="shared" si="6"/>
        <v>0</v>
      </c>
      <c r="G36" s="275">
        <f t="shared" si="7"/>
        <v>0</v>
      </c>
      <c r="H36" s="316"/>
      <c r="I36" s="267">
        <v>0.4</v>
      </c>
      <c r="J36" s="316"/>
      <c r="K36" s="222">
        <f t="shared" si="13"/>
        <v>0.4</v>
      </c>
      <c r="L36" s="222">
        <f t="shared" si="14"/>
        <v>0</v>
      </c>
      <c r="M36" s="222">
        <f t="shared" si="15"/>
        <v>0</v>
      </c>
      <c r="N36" s="222">
        <f t="shared" si="16"/>
        <v>30</v>
      </c>
      <c r="O36" s="222">
        <f t="shared" si="17"/>
        <v>0</v>
      </c>
      <c r="P36" s="250">
        <f t="shared" si="18"/>
        <v>30</v>
      </c>
    </row>
    <row r="37" spans="1:16" s="56" customFormat="1">
      <c r="A37" s="261">
        <f t="shared" si="19"/>
        <v>23</v>
      </c>
      <c r="B37" s="583"/>
      <c r="C37" s="280" t="s">
        <v>1013</v>
      </c>
      <c r="D37" s="264" t="s">
        <v>1014</v>
      </c>
      <c r="E37" s="386">
        <v>0.5</v>
      </c>
      <c r="F37" s="275">
        <f t="shared" si="6"/>
        <v>0</v>
      </c>
      <c r="G37" s="275">
        <f t="shared" si="7"/>
        <v>0</v>
      </c>
      <c r="H37" s="316"/>
      <c r="I37" s="267">
        <v>3.3</v>
      </c>
      <c r="J37" s="316"/>
      <c r="K37" s="222">
        <f t="shared" si="13"/>
        <v>3.3</v>
      </c>
      <c r="L37" s="222">
        <f t="shared" si="14"/>
        <v>0</v>
      </c>
      <c r="M37" s="222">
        <f t="shared" si="15"/>
        <v>0</v>
      </c>
      <c r="N37" s="222">
        <f t="shared" si="16"/>
        <v>1.65</v>
      </c>
      <c r="O37" s="222">
        <f t="shared" si="17"/>
        <v>0</v>
      </c>
      <c r="P37" s="250">
        <f t="shared" si="18"/>
        <v>1.65</v>
      </c>
    </row>
    <row r="38" spans="1:16" s="56" customFormat="1">
      <c r="A38" s="261">
        <f t="shared" si="19"/>
        <v>24</v>
      </c>
      <c r="B38" s="583"/>
      <c r="C38" s="263" t="s">
        <v>1015</v>
      </c>
      <c r="D38" s="264" t="s">
        <v>1005</v>
      </c>
      <c r="E38" s="386">
        <f>(0.15+0.18+0.3)*38*1.2+(0.15+0.25+0.3)*3*1.5</f>
        <v>31.877999999999997</v>
      </c>
      <c r="F38" s="275">
        <f t="shared" si="6"/>
        <v>0</v>
      </c>
      <c r="G38" s="275">
        <f t="shared" si="7"/>
        <v>0</v>
      </c>
      <c r="H38" s="316"/>
      <c r="I38" s="267">
        <v>7.4</v>
      </c>
      <c r="J38" s="316"/>
      <c r="K38" s="222">
        <f t="shared" si="13"/>
        <v>7.4</v>
      </c>
      <c r="L38" s="222">
        <f t="shared" si="14"/>
        <v>0</v>
      </c>
      <c r="M38" s="222">
        <f t="shared" si="15"/>
        <v>0</v>
      </c>
      <c r="N38" s="222">
        <f t="shared" si="16"/>
        <v>235.9</v>
      </c>
      <c r="O38" s="222">
        <f t="shared" si="17"/>
        <v>0</v>
      </c>
      <c r="P38" s="250">
        <f t="shared" si="18"/>
        <v>235.9</v>
      </c>
    </row>
    <row r="39" spans="1:16" s="56" customFormat="1">
      <c r="A39" s="303"/>
      <c r="B39" s="304"/>
      <c r="C39" s="387" t="s">
        <v>1016</v>
      </c>
      <c r="D39" s="306"/>
      <c r="E39" s="388"/>
      <c r="F39" s="275">
        <f t="shared" si="6"/>
        <v>0</v>
      </c>
      <c r="G39" s="275">
        <f t="shared" si="7"/>
        <v>0</v>
      </c>
      <c r="H39" s="316"/>
      <c r="I39" s="316"/>
      <c r="J39" s="316"/>
      <c r="K39" s="222">
        <f t="shared" si="13"/>
        <v>0</v>
      </c>
      <c r="L39" s="222">
        <f t="shared" si="14"/>
        <v>0</v>
      </c>
      <c r="M39" s="222">
        <f t="shared" si="15"/>
        <v>0</v>
      </c>
      <c r="N39" s="222">
        <f t="shared" si="16"/>
        <v>0</v>
      </c>
      <c r="O39" s="222">
        <f t="shared" si="17"/>
        <v>0</v>
      </c>
      <c r="P39" s="250">
        <f t="shared" si="18"/>
        <v>0</v>
      </c>
    </row>
    <row r="40" spans="1:16" s="56" customFormat="1">
      <c r="A40" s="261">
        <v>25</v>
      </c>
      <c r="B40" s="583"/>
      <c r="C40" s="263" t="s">
        <v>1017</v>
      </c>
      <c r="D40" s="264" t="s">
        <v>1005</v>
      </c>
      <c r="E40" s="386">
        <v>62</v>
      </c>
      <c r="F40" s="389">
        <v>0.25</v>
      </c>
      <c r="G40" s="266">
        <v>10</v>
      </c>
      <c r="H40" s="222">
        <f t="shared" ref="H40:H44" si="20">ROUND(F40*G40,2)</f>
        <v>2.5</v>
      </c>
      <c r="I40" s="267"/>
      <c r="J40" s="389">
        <v>1.8</v>
      </c>
      <c r="K40" s="222">
        <f t="shared" si="13"/>
        <v>4.3</v>
      </c>
      <c r="L40" s="222">
        <f t="shared" si="14"/>
        <v>15.5</v>
      </c>
      <c r="M40" s="222">
        <f t="shared" si="15"/>
        <v>155</v>
      </c>
      <c r="N40" s="222">
        <f t="shared" si="16"/>
        <v>0</v>
      </c>
      <c r="O40" s="222">
        <f t="shared" si="17"/>
        <v>111.6</v>
      </c>
      <c r="P40" s="250">
        <f t="shared" si="18"/>
        <v>266.60000000000002</v>
      </c>
    </row>
    <row r="41" spans="1:16" s="56" customFormat="1">
      <c r="A41" s="261">
        <f>A40+1</f>
        <v>26</v>
      </c>
      <c r="B41" s="583"/>
      <c r="C41" s="263" t="s">
        <v>1018</v>
      </c>
      <c r="D41" s="264" t="s">
        <v>1005</v>
      </c>
      <c r="E41" s="386">
        <f>E40*0.15</f>
        <v>9.2999999999999989</v>
      </c>
      <c r="F41" s="389">
        <v>1.2</v>
      </c>
      <c r="G41" s="266">
        <v>10</v>
      </c>
      <c r="H41" s="222">
        <f t="shared" si="20"/>
        <v>12</v>
      </c>
      <c r="I41" s="267"/>
      <c r="J41" s="389">
        <v>0.35</v>
      </c>
      <c r="K41" s="222">
        <f t="shared" si="13"/>
        <v>12.35</v>
      </c>
      <c r="L41" s="222">
        <f t="shared" si="14"/>
        <v>11.16</v>
      </c>
      <c r="M41" s="222">
        <f t="shared" si="15"/>
        <v>111.6</v>
      </c>
      <c r="N41" s="222">
        <f t="shared" si="16"/>
        <v>0</v>
      </c>
      <c r="O41" s="222">
        <f t="shared" si="17"/>
        <v>3.26</v>
      </c>
      <c r="P41" s="250">
        <f t="shared" si="18"/>
        <v>114.86</v>
      </c>
    </row>
    <row r="42" spans="1:16" s="56" customFormat="1">
      <c r="A42" s="261">
        <f>A41+1</f>
        <v>27</v>
      </c>
      <c r="B42" s="583"/>
      <c r="C42" s="263" t="s">
        <v>1019</v>
      </c>
      <c r="D42" s="390" t="s">
        <v>1020</v>
      </c>
      <c r="E42" s="390"/>
      <c r="F42" s="389">
        <v>1.2</v>
      </c>
      <c r="G42" s="266">
        <v>10</v>
      </c>
      <c r="H42" s="222">
        <f t="shared" si="20"/>
        <v>12</v>
      </c>
      <c r="I42" s="267"/>
      <c r="J42" s="389">
        <v>0.25</v>
      </c>
      <c r="K42" s="222">
        <f t="shared" si="13"/>
        <v>12.25</v>
      </c>
      <c r="L42" s="222">
        <f t="shared" si="14"/>
        <v>0</v>
      </c>
      <c r="M42" s="222">
        <f t="shared" si="15"/>
        <v>0</v>
      </c>
      <c r="N42" s="222">
        <f t="shared" si="16"/>
        <v>0</v>
      </c>
      <c r="O42" s="222">
        <f t="shared" si="17"/>
        <v>0</v>
      </c>
      <c r="P42" s="250">
        <f t="shared" si="18"/>
        <v>0</v>
      </c>
    </row>
    <row r="43" spans="1:16" s="56" customFormat="1">
      <c r="A43" s="261">
        <f>A42+1</f>
        <v>28</v>
      </c>
      <c r="B43" s="583"/>
      <c r="C43" s="263" t="s">
        <v>1021</v>
      </c>
      <c r="D43" s="264" t="s">
        <v>1022</v>
      </c>
      <c r="E43" s="386">
        <v>190</v>
      </c>
      <c r="F43" s="389">
        <v>0.14000000000000001</v>
      </c>
      <c r="G43" s="266">
        <v>10</v>
      </c>
      <c r="H43" s="222">
        <f t="shared" si="20"/>
        <v>1.4</v>
      </c>
      <c r="I43" s="267"/>
      <c r="J43" s="389">
        <v>0.3</v>
      </c>
      <c r="K43" s="222">
        <f t="shared" si="13"/>
        <v>1.7</v>
      </c>
      <c r="L43" s="222">
        <f t="shared" si="14"/>
        <v>26.6</v>
      </c>
      <c r="M43" s="222">
        <f t="shared" si="15"/>
        <v>266</v>
      </c>
      <c r="N43" s="222">
        <f t="shared" si="16"/>
        <v>0</v>
      </c>
      <c r="O43" s="222">
        <f t="shared" si="17"/>
        <v>57</v>
      </c>
      <c r="P43" s="250">
        <f t="shared" si="18"/>
        <v>323</v>
      </c>
    </row>
    <row r="44" spans="1:16" s="56" customFormat="1">
      <c r="A44" s="261">
        <f>A43+1</f>
        <v>29</v>
      </c>
      <c r="B44" s="583"/>
      <c r="C44" s="263" t="s">
        <v>1023</v>
      </c>
      <c r="D44" s="264" t="s">
        <v>111</v>
      </c>
      <c r="E44" s="386">
        <v>6</v>
      </c>
      <c r="F44" s="275">
        <v>0.8</v>
      </c>
      <c r="G44" s="275">
        <v>10</v>
      </c>
      <c r="H44" s="222">
        <f t="shared" si="20"/>
        <v>8</v>
      </c>
      <c r="I44" s="316"/>
      <c r="J44" s="316">
        <v>3</v>
      </c>
      <c r="K44" s="222">
        <f t="shared" si="13"/>
        <v>11</v>
      </c>
      <c r="L44" s="222">
        <f t="shared" si="14"/>
        <v>4.8</v>
      </c>
      <c r="M44" s="222">
        <f t="shared" si="15"/>
        <v>48</v>
      </c>
      <c r="N44" s="222">
        <f t="shared" si="16"/>
        <v>0</v>
      </c>
      <c r="O44" s="222">
        <f t="shared" si="17"/>
        <v>18</v>
      </c>
      <c r="P44" s="250">
        <f t="shared" si="18"/>
        <v>66</v>
      </c>
    </row>
    <row r="45" spans="1:16" s="56" customFormat="1">
      <c r="A45" s="261"/>
      <c r="B45" s="583"/>
      <c r="C45" s="321" t="s">
        <v>1024</v>
      </c>
      <c r="D45" s="283"/>
      <c r="E45" s="283"/>
      <c r="F45" s="275">
        <f t="shared" si="6"/>
        <v>0</v>
      </c>
      <c r="G45" s="275">
        <f t="shared" si="7"/>
        <v>0</v>
      </c>
      <c r="H45" s="316"/>
      <c r="I45" s="316"/>
      <c r="J45" s="316"/>
      <c r="K45" s="222">
        <f t="shared" si="13"/>
        <v>0</v>
      </c>
      <c r="L45" s="222">
        <f t="shared" si="14"/>
        <v>0</v>
      </c>
      <c r="M45" s="222">
        <f t="shared" si="15"/>
        <v>0</v>
      </c>
      <c r="N45" s="222">
        <f t="shared" si="16"/>
        <v>0</v>
      </c>
      <c r="O45" s="222">
        <f t="shared" si="17"/>
        <v>0</v>
      </c>
      <c r="P45" s="250">
        <f t="shared" si="18"/>
        <v>0</v>
      </c>
    </row>
    <row r="46" spans="1:16" s="56" customFormat="1" ht="37.35">
      <c r="A46" s="391">
        <v>30</v>
      </c>
      <c r="B46" s="583"/>
      <c r="C46" s="280" t="s">
        <v>1025</v>
      </c>
      <c r="D46" s="283" t="s">
        <v>1005</v>
      </c>
      <c r="E46" s="392">
        <f>(0.15)*38*1.2+(0.15)*1*1.5</f>
        <v>7.0649999999999995</v>
      </c>
      <c r="F46" s="389">
        <v>0.69</v>
      </c>
      <c r="G46" s="266">
        <v>10</v>
      </c>
      <c r="H46" s="222">
        <f t="shared" ref="H46:H51" si="21">ROUND(F46*G46,2)</f>
        <v>6.9</v>
      </c>
      <c r="I46" s="267"/>
      <c r="J46" s="389">
        <v>0.45</v>
      </c>
      <c r="K46" s="222">
        <f t="shared" si="13"/>
        <v>7.3500000000000005</v>
      </c>
      <c r="L46" s="222">
        <f t="shared" si="14"/>
        <v>4.87</v>
      </c>
      <c r="M46" s="222">
        <f t="shared" si="15"/>
        <v>48.75</v>
      </c>
      <c r="N46" s="222">
        <f t="shared" si="16"/>
        <v>0</v>
      </c>
      <c r="O46" s="222">
        <f t="shared" si="17"/>
        <v>3.18</v>
      </c>
      <c r="P46" s="250">
        <f t="shared" si="18"/>
        <v>51.93</v>
      </c>
    </row>
    <row r="47" spans="1:16" s="56" customFormat="1" ht="24.9">
      <c r="A47" s="391">
        <v>31</v>
      </c>
      <c r="B47" s="583"/>
      <c r="C47" s="280" t="s">
        <v>1026</v>
      </c>
      <c r="D47" s="283" t="s">
        <v>1005</v>
      </c>
      <c r="E47" s="392">
        <f>(0.3+0.18)*38*1.21+(0.3+0.25)*3*1.5</f>
        <v>24.545399999999997</v>
      </c>
      <c r="F47" s="389">
        <v>0.69</v>
      </c>
      <c r="G47" s="266">
        <v>10</v>
      </c>
      <c r="H47" s="222">
        <f t="shared" si="21"/>
        <v>6.9</v>
      </c>
      <c r="I47" s="267"/>
      <c r="J47" s="389">
        <v>0.45</v>
      </c>
      <c r="K47" s="222">
        <f t="shared" si="13"/>
        <v>7.3500000000000005</v>
      </c>
      <c r="L47" s="222">
        <f t="shared" si="14"/>
        <v>16.940000000000001</v>
      </c>
      <c r="M47" s="222">
        <f t="shared" si="15"/>
        <v>169.36</v>
      </c>
      <c r="N47" s="222">
        <f t="shared" si="16"/>
        <v>0</v>
      </c>
      <c r="O47" s="222">
        <f t="shared" si="17"/>
        <v>11.05</v>
      </c>
      <c r="P47" s="250">
        <f t="shared" si="18"/>
        <v>180.41000000000003</v>
      </c>
    </row>
    <row r="48" spans="1:16" s="56" customFormat="1" ht="24.9">
      <c r="A48" s="391">
        <v>32</v>
      </c>
      <c r="B48" s="583"/>
      <c r="C48" s="280" t="s">
        <v>1027</v>
      </c>
      <c r="D48" s="283" t="s">
        <v>1005</v>
      </c>
      <c r="E48" s="392">
        <f>E40+E41-E46-E47</f>
        <v>39.689599999999999</v>
      </c>
      <c r="F48" s="389">
        <v>0.69</v>
      </c>
      <c r="G48" s="266">
        <v>10</v>
      </c>
      <c r="H48" s="222">
        <f t="shared" si="21"/>
        <v>6.9</v>
      </c>
      <c r="I48" s="267">
        <v>7.4</v>
      </c>
      <c r="J48" s="389">
        <v>0.45</v>
      </c>
      <c r="K48" s="222">
        <f t="shared" si="13"/>
        <v>14.75</v>
      </c>
      <c r="L48" s="222">
        <f t="shared" si="14"/>
        <v>27.39</v>
      </c>
      <c r="M48" s="222">
        <f t="shared" si="15"/>
        <v>273.86</v>
      </c>
      <c r="N48" s="222">
        <f t="shared" si="16"/>
        <v>293.7</v>
      </c>
      <c r="O48" s="222">
        <f t="shared" si="17"/>
        <v>17.86</v>
      </c>
      <c r="P48" s="250">
        <f t="shared" si="18"/>
        <v>585.41999999999996</v>
      </c>
    </row>
    <row r="49" spans="1:16" s="56" customFormat="1">
      <c r="A49" s="391">
        <v>33</v>
      </c>
      <c r="B49" s="583"/>
      <c r="C49" s="280" t="s">
        <v>1028</v>
      </c>
      <c r="D49" s="283" t="s">
        <v>1005</v>
      </c>
      <c r="E49" s="392">
        <f>E40+E41-E48</f>
        <v>31.610399999999998</v>
      </c>
      <c r="F49" s="389">
        <v>0.3</v>
      </c>
      <c r="G49" s="266">
        <v>10</v>
      </c>
      <c r="H49" s="222">
        <f t="shared" si="21"/>
        <v>3</v>
      </c>
      <c r="I49" s="267"/>
      <c r="J49" s="389">
        <v>3.5</v>
      </c>
      <c r="K49" s="222">
        <f t="shared" si="13"/>
        <v>6.5</v>
      </c>
      <c r="L49" s="222">
        <f t="shared" si="14"/>
        <v>9.48</v>
      </c>
      <c r="M49" s="222">
        <f t="shared" si="15"/>
        <v>94.83</v>
      </c>
      <c r="N49" s="222">
        <f t="shared" si="16"/>
        <v>0</v>
      </c>
      <c r="O49" s="222">
        <f t="shared" si="17"/>
        <v>110.64</v>
      </c>
      <c r="P49" s="250">
        <f t="shared" si="18"/>
        <v>205.47</v>
      </c>
    </row>
    <row r="50" spans="1:16" s="56" customFormat="1">
      <c r="A50" s="391">
        <v>34</v>
      </c>
      <c r="B50" s="583"/>
      <c r="C50" s="263" t="s">
        <v>1029</v>
      </c>
      <c r="D50" s="264" t="s">
        <v>1022</v>
      </c>
      <c r="E50" s="386">
        <v>36</v>
      </c>
      <c r="F50" s="389">
        <v>0.14000000000000001</v>
      </c>
      <c r="G50" s="266">
        <v>10</v>
      </c>
      <c r="H50" s="222">
        <f t="shared" si="21"/>
        <v>1.4</v>
      </c>
      <c r="I50" s="267">
        <v>1.1000000000000001</v>
      </c>
      <c r="J50" s="389">
        <v>0.3</v>
      </c>
      <c r="K50" s="222">
        <f t="shared" si="13"/>
        <v>2.8</v>
      </c>
      <c r="L50" s="222">
        <f t="shared" si="14"/>
        <v>5.04</v>
      </c>
      <c r="M50" s="222">
        <f t="shared" si="15"/>
        <v>50.4</v>
      </c>
      <c r="N50" s="222">
        <f t="shared" si="16"/>
        <v>39.6</v>
      </c>
      <c r="O50" s="222">
        <f t="shared" si="17"/>
        <v>10.8</v>
      </c>
      <c r="P50" s="250">
        <f t="shared" si="18"/>
        <v>100.8</v>
      </c>
    </row>
    <row r="51" spans="1:16" s="56" customFormat="1">
      <c r="A51" s="391">
        <v>35</v>
      </c>
      <c r="B51" s="583"/>
      <c r="C51" s="263" t="s">
        <v>1030</v>
      </c>
      <c r="D51" s="264" t="s">
        <v>111</v>
      </c>
      <c r="E51" s="386">
        <v>6</v>
      </c>
      <c r="F51" s="275">
        <v>0.8</v>
      </c>
      <c r="G51" s="275">
        <v>10</v>
      </c>
      <c r="H51" s="222">
        <f t="shared" si="21"/>
        <v>8</v>
      </c>
      <c r="I51" s="316">
        <v>8.6</v>
      </c>
      <c r="J51" s="316">
        <v>3</v>
      </c>
      <c r="K51" s="222">
        <f t="shared" si="13"/>
        <v>19.600000000000001</v>
      </c>
      <c r="L51" s="222">
        <f t="shared" si="14"/>
        <v>4.8</v>
      </c>
      <c r="M51" s="222">
        <f t="shared" si="15"/>
        <v>48</v>
      </c>
      <c r="N51" s="222">
        <f t="shared" si="16"/>
        <v>51.6</v>
      </c>
      <c r="O51" s="222">
        <f t="shared" si="17"/>
        <v>18</v>
      </c>
      <c r="P51" s="250">
        <f t="shared" si="18"/>
        <v>117.6</v>
      </c>
    </row>
    <row r="52" spans="1:16" s="56" customFormat="1">
      <c r="A52" s="737"/>
      <c r="B52" s="583"/>
      <c r="C52" s="287" t="s">
        <v>1031</v>
      </c>
      <c r="D52" s="287"/>
      <c r="E52" s="287"/>
      <c r="F52" s="275">
        <f t="shared" si="6"/>
        <v>0</v>
      </c>
      <c r="G52" s="275">
        <f t="shared" si="7"/>
        <v>0</v>
      </c>
      <c r="H52" s="316"/>
      <c r="I52" s="316"/>
      <c r="J52" s="316"/>
      <c r="K52" s="222">
        <f t="shared" si="13"/>
        <v>0</v>
      </c>
      <c r="L52" s="222">
        <f t="shared" si="14"/>
        <v>0</v>
      </c>
      <c r="M52" s="222">
        <f t="shared" si="15"/>
        <v>0</v>
      </c>
      <c r="N52" s="222">
        <f t="shared" si="16"/>
        <v>0</v>
      </c>
      <c r="O52" s="222">
        <f t="shared" si="17"/>
        <v>0</v>
      </c>
      <c r="P52" s="250">
        <f t="shared" si="18"/>
        <v>0</v>
      </c>
    </row>
    <row r="53" spans="1:16" s="56" customFormat="1" ht="24.9">
      <c r="A53" s="261">
        <v>36</v>
      </c>
      <c r="B53" s="583"/>
      <c r="C53" s="263" t="s">
        <v>1032</v>
      </c>
      <c r="D53" s="264" t="s">
        <v>111</v>
      </c>
      <c r="E53" s="386">
        <v>28</v>
      </c>
      <c r="F53" s="763">
        <v>3.9</v>
      </c>
      <c r="G53" s="764">
        <v>10</v>
      </c>
      <c r="H53" s="765">
        <f t="shared" ref="H53:H62" si="22">ROUND(F53*G53,2)</f>
        <v>39</v>
      </c>
      <c r="I53" s="267"/>
      <c r="J53" s="389">
        <v>4</v>
      </c>
      <c r="K53" s="222">
        <f t="shared" si="13"/>
        <v>43</v>
      </c>
      <c r="L53" s="222">
        <f t="shared" si="14"/>
        <v>109.2</v>
      </c>
      <c r="M53" s="222">
        <f t="shared" si="15"/>
        <v>1092</v>
      </c>
      <c r="N53" s="222">
        <f t="shared" si="16"/>
        <v>0</v>
      </c>
      <c r="O53" s="222">
        <f t="shared" si="17"/>
        <v>112</v>
      </c>
      <c r="P53" s="250">
        <f t="shared" si="18"/>
        <v>1204</v>
      </c>
    </row>
    <row r="54" spans="1:16" s="56" customFormat="1">
      <c r="A54" s="261">
        <f>A53+1</f>
        <v>37</v>
      </c>
      <c r="B54" s="583"/>
      <c r="C54" s="263" t="s">
        <v>1033</v>
      </c>
      <c r="D54" s="264" t="s">
        <v>892</v>
      </c>
      <c r="E54" s="386">
        <v>12</v>
      </c>
      <c r="F54" s="389">
        <v>4.5</v>
      </c>
      <c r="G54" s="266">
        <v>10</v>
      </c>
      <c r="H54" s="222">
        <f t="shared" si="22"/>
        <v>45</v>
      </c>
      <c r="I54" s="267"/>
      <c r="J54" s="389">
        <v>3</v>
      </c>
      <c r="K54" s="222">
        <f t="shared" si="13"/>
        <v>48</v>
      </c>
      <c r="L54" s="222">
        <f t="shared" si="14"/>
        <v>54</v>
      </c>
      <c r="M54" s="222">
        <f t="shared" si="15"/>
        <v>540</v>
      </c>
      <c r="N54" s="222">
        <f t="shared" si="16"/>
        <v>0</v>
      </c>
      <c r="O54" s="222">
        <f t="shared" si="17"/>
        <v>36</v>
      </c>
      <c r="P54" s="250">
        <f t="shared" si="18"/>
        <v>576</v>
      </c>
    </row>
    <row r="55" spans="1:16" s="56" customFormat="1">
      <c r="A55" s="261">
        <f t="shared" ref="A55:A62" si="23">A54+1</f>
        <v>38</v>
      </c>
      <c r="B55" s="583"/>
      <c r="C55" s="263" t="s">
        <v>1012</v>
      </c>
      <c r="D55" s="264" t="s">
        <v>111</v>
      </c>
      <c r="E55" s="386">
        <v>75</v>
      </c>
      <c r="F55" s="389">
        <v>0.1</v>
      </c>
      <c r="G55" s="266">
        <v>10</v>
      </c>
      <c r="H55" s="222">
        <f t="shared" si="22"/>
        <v>1</v>
      </c>
      <c r="I55" s="267"/>
      <c r="J55" s="389">
        <v>0.05</v>
      </c>
      <c r="K55" s="222">
        <f t="shared" si="13"/>
        <v>1.05</v>
      </c>
      <c r="L55" s="222">
        <f t="shared" si="14"/>
        <v>7.5</v>
      </c>
      <c r="M55" s="222">
        <f t="shared" si="15"/>
        <v>75</v>
      </c>
      <c r="N55" s="222">
        <f t="shared" si="16"/>
        <v>0</v>
      </c>
      <c r="O55" s="222">
        <f t="shared" si="17"/>
        <v>3.75</v>
      </c>
      <c r="P55" s="250">
        <f t="shared" si="18"/>
        <v>78.75</v>
      </c>
    </row>
    <row r="56" spans="1:16" s="56" customFormat="1">
      <c r="A56" s="261">
        <f t="shared" si="23"/>
        <v>39</v>
      </c>
      <c r="B56" s="583"/>
      <c r="C56" s="263" t="s">
        <v>1034</v>
      </c>
      <c r="D56" s="264" t="s">
        <v>892</v>
      </c>
      <c r="E56" s="386">
        <v>1</v>
      </c>
      <c r="F56" s="389">
        <v>3.5</v>
      </c>
      <c r="G56" s="266">
        <v>10</v>
      </c>
      <c r="H56" s="222">
        <f t="shared" si="22"/>
        <v>35</v>
      </c>
      <c r="I56" s="267"/>
      <c r="J56" s="389">
        <v>1.5</v>
      </c>
      <c r="K56" s="222">
        <f t="shared" si="13"/>
        <v>36.5</v>
      </c>
      <c r="L56" s="222">
        <f t="shared" si="14"/>
        <v>3.5</v>
      </c>
      <c r="M56" s="222">
        <f t="shared" si="15"/>
        <v>35</v>
      </c>
      <c r="N56" s="222">
        <f t="shared" si="16"/>
        <v>0</v>
      </c>
      <c r="O56" s="222">
        <f t="shared" si="17"/>
        <v>1.5</v>
      </c>
      <c r="P56" s="250">
        <f t="shared" si="18"/>
        <v>36.5</v>
      </c>
    </row>
    <row r="57" spans="1:16" s="56" customFormat="1">
      <c r="A57" s="261">
        <f t="shared" si="23"/>
        <v>40</v>
      </c>
      <c r="B57" s="583"/>
      <c r="C57" s="263" t="s">
        <v>1035</v>
      </c>
      <c r="D57" s="264" t="s">
        <v>892</v>
      </c>
      <c r="E57" s="386">
        <v>1</v>
      </c>
      <c r="F57" s="389">
        <v>3.5</v>
      </c>
      <c r="G57" s="266">
        <v>10</v>
      </c>
      <c r="H57" s="222">
        <f t="shared" si="22"/>
        <v>35</v>
      </c>
      <c r="I57" s="267"/>
      <c r="J57" s="389">
        <v>1.5</v>
      </c>
      <c r="K57" s="222">
        <f t="shared" si="13"/>
        <v>36.5</v>
      </c>
      <c r="L57" s="222">
        <f t="shared" si="14"/>
        <v>3.5</v>
      </c>
      <c r="M57" s="222">
        <f t="shared" si="15"/>
        <v>35</v>
      </c>
      <c r="N57" s="222">
        <f t="shared" si="16"/>
        <v>0</v>
      </c>
      <c r="O57" s="222">
        <f t="shared" si="17"/>
        <v>1.5</v>
      </c>
      <c r="P57" s="250">
        <f t="shared" si="18"/>
        <v>36.5</v>
      </c>
    </row>
    <row r="58" spans="1:16" s="56" customFormat="1">
      <c r="A58" s="261">
        <f t="shared" si="23"/>
        <v>41</v>
      </c>
      <c r="B58" s="583"/>
      <c r="C58" s="263" t="s">
        <v>1036</v>
      </c>
      <c r="D58" s="264" t="s">
        <v>892</v>
      </c>
      <c r="E58" s="386">
        <v>1</v>
      </c>
      <c r="F58" s="389">
        <v>18</v>
      </c>
      <c r="G58" s="266">
        <v>10</v>
      </c>
      <c r="H58" s="222">
        <f t="shared" si="22"/>
        <v>180</v>
      </c>
      <c r="I58" s="267"/>
      <c r="J58" s="389">
        <v>15</v>
      </c>
      <c r="K58" s="222">
        <f t="shared" si="13"/>
        <v>195</v>
      </c>
      <c r="L58" s="222">
        <f t="shared" si="14"/>
        <v>18</v>
      </c>
      <c r="M58" s="222">
        <f t="shared" si="15"/>
        <v>180</v>
      </c>
      <c r="N58" s="222">
        <f t="shared" si="16"/>
        <v>0</v>
      </c>
      <c r="O58" s="222">
        <f t="shared" si="17"/>
        <v>15</v>
      </c>
      <c r="P58" s="250">
        <f t="shared" si="18"/>
        <v>195</v>
      </c>
    </row>
    <row r="59" spans="1:16" s="56" customFormat="1">
      <c r="A59" s="261">
        <f t="shared" si="23"/>
        <v>42</v>
      </c>
      <c r="B59" s="583"/>
      <c r="C59" s="263" t="s">
        <v>1037</v>
      </c>
      <c r="D59" s="264" t="s">
        <v>892</v>
      </c>
      <c r="E59" s="386">
        <v>1</v>
      </c>
      <c r="F59" s="389">
        <v>0.12</v>
      </c>
      <c r="G59" s="266">
        <v>10</v>
      </c>
      <c r="H59" s="222">
        <f t="shared" si="22"/>
        <v>1.2</v>
      </c>
      <c r="I59" s="267"/>
      <c r="J59" s="389">
        <v>0.08</v>
      </c>
      <c r="K59" s="222">
        <f t="shared" si="13"/>
        <v>1.28</v>
      </c>
      <c r="L59" s="222">
        <f t="shared" si="14"/>
        <v>0.12</v>
      </c>
      <c r="M59" s="222">
        <f t="shared" si="15"/>
        <v>1.2</v>
      </c>
      <c r="N59" s="222">
        <f t="shared" si="16"/>
        <v>0</v>
      </c>
      <c r="O59" s="222">
        <f t="shared" si="17"/>
        <v>0.08</v>
      </c>
      <c r="P59" s="250">
        <f t="shared" si="18"/>
        <v>1.28</v>
      </c>
    </row>
    <row r="60" spans="1:16" s="56" customFormat="1">
      <c r="A60" s="261">
        <f t="shared" si="23"/>
        <v>43</v>
      </c>
      <c r="B60" s="583"/>
      <c r="C60" s="263" t="s">
        <v>1038</v>
      </c>
      <c r="D60" s="264" t="s">
        <v>892</v>
      </c>
      <c r="E60" s="386">
        <v>4</v>
      </c>
      <c r="F60" s="389">
        <v>1.8</v>
      </c>
      <c r="G60" s="266">
        <v>10</v>
      </c>
      <c r="H60" s="222">
        <f t="shared" si="22"/>
        <v>18</v>
      </c>
      <c r="I60" s="267"/>
      <c r="J60" s="389">
        <v>0.8</v>
      </c>
      <c r="K60" s="222">
        <f t="shared" si="13"/>
        <v>18.8</v>
      </c>
      <c r="L60" s="222">
        <f t="shared" si="14"/>
        <v>7.2</v>
      </c>
      <c r="M60" s="222">
        <f t="shared" si="15"/>
        <v>72</v>
      </c>
      <c r="N60" s="222">
        <f t="shared" si="16"/>
        <v>0</v>
      </c>
      <c r="O60" s="222">
        <f t="shared" si="17"/>
        <v>3.2</v>
      </c>
      <c r="P60" s="250">
        <f t="shared" si="18"/>
        <v>75.2</v>
      </c>
    </row>
    <row r="61" spans="1:16" s="56" customFormat="1">
      <c r="A61" s="261">
        <f t="shared" si="23"/>
        <v>44</v>
      </c>
      <c r="B61" s="583"/>
      <c r="C61" s="263" t="s">
        <v>1039</v>
      </c>
      <c r="D61" s="264" t="s">
        <v>892</v>
      </c>
      <c r="E61" s="386">
        <v>2</v>
      </c>
      <c r="F61" s="389">
        <v>6</v>
      </c>
      <c r="G61" s="266">
        <v>10</v>
      </c>
      <c r="H61" s="222">
        <f t="shared" si="22"/>
        <v>60</v>
      </c>
      <c r="I61" s="267"/>
      <c r="J61" s="389">
        <v>8</v>
      </c>
      <c r="K61" s="222">
        <f t="shared" si="13"/>
        <v>68</v>
      </c>
      <c r="L61" s="222">
        <f t="shared" si="14"/>
        <v>12</v>
      </c>
      <c r="M61" s="222">
        <f t="shared" si="15"/>
        <v>120</v>
      </c>
      <c r="N61" s="222">
        <f t="shared" si="16"/>
        <v>0</v>
      </c>
      <c r="O61" s="222">
        <f t="shared" si="17"/>
        <v>16</v>
      </c>
      <c r="P61" s="250">
        <f t="shared" si="18"/>
        <v>136</v>
      </c>
    </row>
    <row r="62" spans="1:16" s="56" customFormat="1" ht="24.9">
      <c r="A62" s="261">
        <f t="shared" si="23"/>
        <v>45</v>
      </c>
      <c r="B62" s="583"/>
      <c r="C62" s="263" t="s">
        <v>1040</v>
      </c>
      <c r="D62" s="264" t="s">
        <v>111</v>
      </c>
      <c r="E62" s="386">
        <v>76</v>
      </c>
      <c r="F62" s="389">
        <v>0.4</v>
      </c>
      <c r="G62" s="266">
        <v>10</v>
      </c>
      <c r="H62" s="222">
        <f t="shared" si="22"/>
        <v>4</v>
      </c>
      <c r="I62" s="267"/>
      <c r="J62" s="389">
        <v>4.5</v>
      </c>
      <c r="K62" s="222">
        <f t="shared" si="13"/>
        <v>8.5</v>
      </c>
      <c r="L62" s="222">
        <f t="shared" si="14"/>
        <v>30.4</v>
      </c>
      <c r="M62" s="222">
        <f t="shared" si="15"/>
        <v>304</v>
      </c>
      <c r="N62" s="222">
        <f t="shared" si="16"/>
        <v>0</v>
      </c>
      <c r="O62" s="222">
        <f t="shared" si="17"/>
        <v>342</v>
      </c>
      <c r="P62" s="250">
        <f t="shared" si="18"/>
        <v>646</v>
      </c>
    </row>
    <row r="63" spans="1:16">
      <c r="A63" s="225"/>
      <c r="B63" s="302"/>
      <c r="C63" s="381"/>
      <c r="D63" s="382"/>
      <c r="E63" s="229"/>
      <c r="F63" s="383"/>
      <c r="G63" s="383"/>
      <c r="H63" s="230"/>
      <c r="I63" s="230"/>
      <c r="J63" s="229"/>
      <c r="K63" s="229"/>
      <c r="L63" s="383"/>
      <c r="M63" s="229"/>
      <c r="N63" s="229"/>
      <c r="O63" s="229"/>
      <c r="P63" s="243"/>
    </row>
    <row r="64" spans="1:16" ht="15.05" customHeight="1">
      <c r="A64" s="206"/>
      <c r="B64" s="206"/>
      <c r="C64" s="951" t="s">
        <v>99</v>
      </c>
      <c r="D64" s="952"/>
      <c r="E64" s="952"/>
      <c r="F64" s="952"/>
      <c r="G64" s="952"/>
      <c r="H64" s="952"/>
      <c r="I64" s="952"/>
      <c r="J64" s="952"/>
      <c r="K64" s="952"/>
      <c r="L64" s="208">
        <f>SUM(L13:L63)</f>
        <v>372</v>
      </c>
      <c r="M64" s="208">
        <f>SUM(M13:M63)</f>
        <v>3720</v>
      </c>
      <c r="N64" s="208">
        <f>SUM(N13:N63)</f>
        <v>7586.4299999999976</v>
      </c>
      <c r="O64" s="208">
        <f>SUM(O13:O63)</f>
        <v>892.42000000000019</v>
      </c>
      <c r="P64" s="208">
        <f>SUM(P13:P63)</f>
        <v>12198.849999999999</v>
      </c>
    </row>
    <row r="65" spans="1:16" s="125" customFormat="1" collapsed="1">
      <c r="I65" s="146"/>
    </row>
    <row r="66" spans="1:16" s="122" customFormat="1" ht="12.8" customHeight="1">
      <c r="B66" s="147" t="s">
        <v>54</v>
      </c>
    </row>
    <row r="67" spans="1:16" s="122" customFormat="1" ht="45" customHeight="1">
      <c r="A67" s="926" t="str">
        <f>'3,1'!A53:H53</f>
        <v xml:space="preserve"> Būvuzņēmējam jādod pilna apjoma tendera cenu piedāvājums, ieskaitot palīgdarbus  un materiālus, kas nav uzrādīti tāmē, apjomu sarakstā un projektā, bet ir nepieciešami projektētā būvobjekta izbūvei un nodošanai ekspluatācijā.</v>
      </c>
      <c r="B67" s="926"/>
      <c r="C67" s="926"/>
      <c r="D67" s="926"/>
      <c r="E67" s="926"/>
      <c r="F67" s="926"/>
      <c r="G67" s="926"/>
      <c r="H67" s="926"/>
      <c r="I67" s="926"/>
      <c r="J67" s="926"/>
      <c r="K67" s="926"/>
      <c r="L67" s="926"/>
      <c r="M67" s="926"/>
      <c r="N67" s="926"/>
      <c r="O67" s="926"/>
      <c r="P67" s="926"/>
    </row>
    <row r="68" spans="1:16" s="122" customFormat="1" ht="65.3" customHeight="1">
      <c r="A68" s="925">
        <f>'3,1'!$A$54</f>
        <v>0</v>
      </c>
      <c r="B68" s="925"/>
      <c r="C68" s="925"/>
      <c r="D68" s="925"/>
      <c r="E68" s="925"/>
      <c r="F68" s="925"/>
      <c r="G68" s="925"/>
      <c r="H68" s="925"/>
      <c r="I68" s="925"/>
      <c r="J68" s="925"/>
      <c r="K68" s="925"/>
      <c r="L68" s="925"/>
      <c r="M68" s="925"/>
      <c r="N68" s="925"/>
      <c r="O68" s="925"/>
      <c r="P68" s="925"/>
    </row>
    <row r="69" spans="1:16" s="122" customFormat="1" ht="12.8" customHeight="1">
      <c r="B69" s="148"/>
    </row>
    <row r="70" spans="1:16" s="122" customFormat="1" ht="12.8" customHeight="1">
      <c r="B70" s="148"/>
    </row>
    <row r="71" spans="1:16" s="125" customFormat="1">
      <c r="B71" s="125" t="str">
        <f>'3,3'!B52</f>
        <v>Sastādīja:</v>
      </c>
      <c r="L71" s="125" t="str">
        <f>'3,3'!M52</f>
        <v>Pārbaudīja:</v>
      </c>
    </row>
    <row r="72" spans="1:16" s="125" customFormat="1">
      <c r="C72" s="164" t="str">
        <f>'3,3'!C53</f>
        <v>Arnis Gailītis</v>
      </c>
      <c r="L72" s="164"/>
      <c r="M72" s="922" t="str">
        <f>'3,3'!N53</f>
        <v>Dzintra Cīrule</v>
      </c>
      <c r="N72" s="922"/>
    </row>
    <row r="73" spans="1:16" s="125" customFormat="1">
      <c r="C73" s="165" t="str">
        <f>'3,3'!C54</f>
        <v>Sertifikāta Nr.20-5643</v>
      </c>
      <c r="L73" s="165"/>
      <c r="M73" s="923" t="str">
        <f>'3,3'!N54</f>
        <v>Sertifikāta Nr.10-0363</v>
      </c>
      <c r="N73" s="923"/>
    </row>
    <row r="74" spans="1:16" s="125" customFormat="1" collapsed="1">
      <c r="B74" s="146"/>
      <c r="F74" s="146"/>
      <c r="G74" s="146"/>
    </row>
  </sheetData>
  <mergeCells count="17">
    <mergeCell ref="M73:N73"/>
    <mergeCell ref="F11:K11"/>
    <mergeCell ref="L11:P11"/>
    <mergeCell ref="C64:K64"/>
    <mergeCell ref="M72:N72"/>
    <mergeCell ref="A68:P68"/>
    <mergeCell ref="A67:P67"/>
    <mergeCell ref="A11:A12"/>
    <mergeCell ref="B11:B12"/>
    <mergeCell ref="C11:C12"/>
    <mergeCell ref="D11:D12"/>
    <mergeCell ref="E11:E12"/>
    <mergeCell ref="A2:P2"/>
    <mergeCell ref="D3:P3"/>
    <mergeCell ref="D4:P4"/>
    <mergeCell ref="D5:P5"/>
    <mergeCell ref="L9:O9"/>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70"/>
  <sheetViews>
    <sheetView showZeros="0" view="pageBreakPreview" topLeftCell="A31" zoomScale="90" zoomScaleNormal="100" zoomScaleSheetLayoutView="90" workbookViewId="0">
      <selection activeCell="G39" sqref="G39:G41"/>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3.625" style="19" customWidth="1"/>
    <col min="17" max="16384" width="9.125" style="19"/>
  </cols>
  <sheetData>
    <row r="1" spans="1:16" s="24" customFormat="1">
      <c r="E1" s="21"/>
      <c r="F1" s="21"/>
      <c r="G1" s="181" t="s">
        <v>92</v>
      </c>
      <c r="H1" s="110" t="str">
        <f>kops3!B26</f>
        <v>3,6</v>
      </c>
      <c r="I1" s="53"/>
    </row>
    <row r="2" spans="1:16" s="24" customFormat="1">
      <c r="A2" s="919" t="str">
        <f>C13</f>
        <v>Ārējie elektrotīkli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P60</f>
        <v>22290.380000000005</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40" t="s">
        <v>97</v>
      </c>
      <c r="D11" s="931" t="s">
        <v>22</v>
      </c>
      <c r="E11" s="927" t="s">
        <v>23</v>
      </c>
      <c r="F11" s="924" t="s">
        <v>24</v>
      </c>
      <c r="G11" s="924"/>
      <c r="H11" s="924"/>
      <c r="I11" s="924"/>
      <c r="J11" s="924"/>
      <c r="K11" s="924"/>
      <c r="L11" s="924" t="s">
        <v>25</v>
      </c>
      <c r="M11" s="924"/>
      <c r="N11" s="924"/>
      <c r="O11" s="924"/>
      <c r="P11" s="924"/>
    </row>
    <row r="12" spans="1:16" ht="62.85">
      <c r="A12" s="927"/>
      <c r="B12" s="935"/>
      <c r="C12" s="947"/>
      <c r="D12" s="931"/>
      <c r="E12" s="927"/>
      <c r="F12" s="166" t="s">
        <v>26</v>
      </c>
      <c r="G12" s="166" t="s">
        <v>58</v>
      </c>
      <c r="H12" s="166" t="s">
        <v>59</v>
      </c>
      <c r="I12" s="187" t="s">
        <v>95</v>
      </c>
      <c r="J12" s="166" t="s">
        <v>60</v>
      </c>
      <c r="K12" s="166" t="s">
        <v>61</v>
      </c>
      <c r="L12" s="166" t="s">
        <v>18</v>
      </c>
      <c r="M12" s="166" t="s">
        <v>59</v>
      </c>
      <c r="N12" s="187" t="s">
        <v>95</v>
      </c>
      <c r="O12" s="166" t="s">
        <v>60</v>
      </c>
      <c r="P12" s="166" t="s">
        <v>62</v>
      </c>
    </row>
    <row r="13" spans="1:16" ht="15.05">
      <c r="A13" s="209"/>
      <c r="B13" s="210">
        <v>0</v>
      </c>
      <c r="C13" s="692" t="str">
        <f>kops3!C26</f>
        <v>Ārējie elektrotīkli</v>
      </c>
      <c r="D13" s="212"/>
      <c r="E13" s="213"/>
      <c r="F13" s="251">
        <v>0</v>
      </c>
      <c r="G13" s="251">
        <v>0</v>
      </c>
      <c r="H13" s="216">
        <v>0</v>
      </c>
      <c r="I13" s="215">
        <v>0</v>
      </c>
      <c r="J13" s="215">
        <v>0</v>
      </c>
      <c r="K13" s="215">
        <f t="shared" ref="K13" si="0">SUM(H13:J13)</f>
        <v>0</v>
      </c>
      <c r="L13" s="214">
        <f t="shared" ref="L13" si="1">ROUND(F13*E13,2)</f>
        <v>0</v>
      </c>
      <c r="M13" s="215">
        <f t="shared" ref="M13" si="2">ROUND(H13*E13,2)</f>
        <v>0</v>
      </c>
      <c r="N13" s="215">
        <f t="shared" ref="N13" si="3">ROUND(I13*E13,2)</f>
        <v>0</v>
      </c>
      <c r="O13" s="215">
        <f t="shared" ref="O13" si="4">ROUND(J13*E13,2)</f>
        <v>0</v>
      </c>
      <c r="P13" s="244">
        <f t="shared" ref="P13" si="5">SUM(M13:O13)</f>
        <v>0</v>
      </c>
    </row>
    <row r="14" spans="1:16" s="56" customFormat="1">
      <c r="A14" s="695"/>
      <c r="B14" s="766"/>
      <c r="C14" s="767" t="s">
        <v>1697</v>
      </c>
      <c r="D14" s="768"/>
      <c r="E14" s="769"/>
      <c r="F14" s="316"/>
      <c r="G14" s="316"/>
      <c r="H14" s="316"/>
      <c r="I14" s="316"/>
      <c r="J14" s="316"/>
      <c r="K14" s="221"/>
      <c r="L14" s="221"/>
      <c r="M14" s="221"/>
      <c r="N14" s="221"/>
      <c r="O14" s="221"/>
      <c r="P14" s="357"/>
    </row>
    <row r="15" spans="1:16" s="56" customFormat="1">
      <c r="A15" s="299">
        <v>1</v>
      </c>
      <c r="B15" s="583"/>
      <c r="C15" s="770" t="s">
        <v>970</v>
      </c>
      <c r="D15" s="771"/>
      <c r="E15" s="772"/>
      <c r="F15" s="268"/>
      <c r="G15" s="266"/>
      <c r="H15" s="222"/>
      <c r="I15" s="267"/>
      <c r="J15" s="268"/>
      <c r="K15" s="222">
        <f t="shared" ref="K15:K58" si="6">SUM(H15:J15)</f>
        <v>0</v>
      </c>
      <c r="L15" s="222">
        <f t="shared" ref="L15:L58" si="7">ROUND(F15*E15,2)</f>
        <v>0</v>
      </c>
      <c r="M15" s="222">
        <f t="shared" ref="M15:M58" si="8">ROUND(H15*E15,2)</f>
        <v>0</v>
      </c>
      <c r="N15" s="222">
        <f t="shared" ref="N15:N58" si="9">ROUND(I15*E15,2)</f>
        <v>0</v>
      </c>
      <c r="O15" s="222">
        <f t="shared" ref="O15:O58" si="10">ROUND(J15*E15,2)</f>
        <v>0</v>
      </c>
      <c r="P15" s="250">
        <f t="shared" ref="P15:P58" si="11">SUM(M15:O15)</f>
        <v>0</v>
      </c>
    </row>
    <row r="16" spans="1:16" s="56" customFormat="1">
      <c r="A16" s="338">
        <v>2</v>
      </c>
      <c r="B16" s="583"/>
      <c r="C16" s="773" t="s">
        <v>1698</v>
      </c>
      <c r="D16" s="772" t="s">
        <v>111</v>
      </c>
      <c r="E16" s="772">
        <v>280</v>
      </c>
      <c r="F16" s="255">
        <v>1.2</v>
      </c>
      <c r="G16" s="637">
        <v>10</v>
      </c>
      <c r="H16" s="640">
        <f t="shared" ref="H16:H20" si="12">ROUND(F16*G16,2)</f>
        <v>12</v>
      </c>
      <c r="I16" s="709"/>
      <c r="J16" s="255">
        <v>0.2</v>
      </c>
      <c r="K16" s="275">
        <f t="shared" si="6"/>
        <v>12.2</v>
      </c>
      <c r="L16" s="275">
        <f t="shared" si="7"/>
        <v>336</v>
      </c>
      <c r="M16" s="275">
        <f t="shared" si="8"/>
        <v>3360</v>
      </c>
      <c r="N16" s="275">
        <f t="shared" si="9"/>
        <v>0</v>
      </c>
      <c r="O16" s="275">
        <f t="shared" si="10"/>
        <v>56</v>
      </c>
      <c r="P16" s="286">
        <f t="shared" si="11"/>
        <v>3416</v>
      </c>
    </row>
    <row r="17" spans="1:16" s="56" customFormat="1">
      <c r="A17" s="299">
        <v>3</v>
      </c>
      <c r="B17" s="583"/>
      <c r="C17" s="774" t="s">
        <v>1699</v>
      </c>
      <c r="D17" s="775" t="s">
        <v>111</v>
      </c>
      <c r="E17" s="772">
        <v>280</v>
      </c>
      <c r="F17" s="255">
        <v>1.35</v>
      </c>
      <c r="G17" s="637">
        <v>10</v>
      </c>
      <c r="H17" s="640">
        <f t="shared" si="12"/>
        <v>13.5</v>
      </c>
      <c r="I17" s="709"/>
      <c r="J17" s="255">
        <v>1.5</v>
      </c>
      <c r="K17" s="222">
        <f t="shared" ref="K17:K19" si="13">SUM(H17:J17)</f>
        <v>15</v>
      </c>
      <c r="L17" s="222">
        <f t="shared" ref="L17:L19" si="14">ROUND(F17*E17,2)</f>
        <v>378</v>
      </c>
      <c r="M17" s="222">
        <f t="shared" ref="M17:M19" si="15">ROUND(H17*E17,2)</f>
        <v>3780</v>
      </c>
      <c r="N17" s="222">
        <f t="shared" ref="N17:N19" si="16">ROUND(I17*E17,2)</f>
        <v>0</v>
      </c>
      <c r="O17" s="222">
        <f t="shared" ref="O17:O19" si="17">ROUND(J17*E17,2)</f>
        <v>420</v>
      </c>
      <c r="P17" s="250">
        <f t="shared" ref="P17:P19" si="18">SUM(M17:O17)</f>
        <v>4200</v>
      </c>
    </row>
    <row r="18" spans="1:16" s="56" customFormat="1">
      <c r="A18" s="338">
        <v>4</v>
      </c>
      <c r="B18" s="583"/>
      <c r="C18" s="776" t="s">
        <v>1700</v>
      </c>
      <c r="D18" s="777" t="s">
        <v>118</v>
      </c>
      <c r="E18" s="778" t="s">
        <v>533</v>
      </c>
      <c r="F18" s="255">
        <v>1.8</v>
      </c>
      <c r="G18" s="637">
        <v>10</v>
      </c>
      <c r="H18" s="640">
        <f t="shared" si="12"/>
        <v>18</v>
      </c>
      <c r="I18" s="709"/>
      <c r="J18" s="255">
        <v>1</v>
      </c>
      <c r="K18" s="222">
        <f t="shared" si="13"/>
        <v>19</v>
      </c>
      <c r="L18" s="222">
        <f t="shared" si="14"/>
        <v>1.8</v>
      </c>
      <c r="M18" s="222">
        <f t="shared" si="15"/>
        <v>18</v>
      </c>
      <c r="N18" s="222">
        <f t="shared" si="16"/>
        <v>0</v>
      </c>
      <c r="O18" s="222">
        <f t="shared" si="17"/>
        <v>1</v>
      </c>
      <c r="P18" s="250">
        <f t="shared" si="18"/>
        <v>19</v>
      </c>
    </row>
    <row r="19" spans="1:16" s="56" customFormat="1">
      <c r="A19" s="299">
        <v>5</v>
      </c>
      <c r="B19" s="583"/>
      <c r="C19" s="779" t="s">
        <v>1701</v>
      </c>
      <c r="D19" s="780" t="s">
        <v>111</v>
      </c>
      <c r="E19" s="778" t="s">
        <v>1702</v>
      </c>
      <c r="F19" s="255">
        <v>1.35</v>
      </c>
      <c r="G19" s="637">
        <v>10</v>
      </c>
      <c r="H19" s="640">
        <f t="shared" si="12"/>
        <v>13.5</v>
      </c>
      <c r="I19" s="709"/>
      <c r="J19" s="255">
        <v>6</v>
      </c>
      <c r="K19" s="222">
        <f t="shared" si="13"/>
        <v>19.5</v>
      </c>
      <c r="L19" s="222">
        <f t="shared" si="14"/>
        <v>54</v>
      </c>
      <c r="M19" s="222">
        <f t="shared" si="15"/>
        <v>540</v>
      </c>
      <c r="N19" s="222">
        <f t="shared" si="16"/>
        <v>0</v>
      </c>
      <c r="O19" s="222">
        <f t="shared" si="17"/>
        <v>240</v>
      </c>
      <c r="P19" s="250">
        <f t="shared" si="18"/>
        <v>780</v>
      </c>
    </row>
    <row r="20" spans="1:16" s="56" customFormat="1">
      <c r="A20" s="338">
        <v>6</v>
      </c>
      <c r="B20" s="583"/>
      <c r="C20" s="779" t="s">
        <v>1703</v>
      </c>
      <c r="D20" s="780" t="s">
        <v>118</v>
      </c>
      <c r="E20" s="778" t="s">
        <v>1704</v>
      </c>
      <c r="F20" s="255">
        <v>2.2000000000000002</v>
      </c>
      <c r="G20" s="637">
        <v>10</v>
      </c>
      <c r="H20" s="640">
        <f t="shared" si="12"/>
        <v>22</v>
      </c>
      <c r="I20" s="709"/>
      <c r="J20" s="255">
        <v>3</v>
      </c>
      <c r="K20" s="222">
        <f>SUM(H20:J20)</f>
        <v>25</v>
      </c>
      <c r="L20" s="222">
        <f>ROUND(F20*E20,2)</f>
        <v>35.200000000000003</v>
      </c>
      <c r="M20" s="222">
        <f>ROUND(H20*E20,2)</f>
        <v>352</v>
      </c>
      <c r="N20" s="222">
        <f>ROUND(I20*E20,2)</f>
        <v>0</v>
      </c>
      <c r="O20" s="222">
        <f>ROUND(J20*E20,2)</f>
        <v>48</v>
      </c>
      <c r="P20" s="250">
        <f>SUM(M20:O20)</f>
        <v>400</v>
      </c>
    </row>
    <row r="21" spans="1:16" s="56" customFormat="1">
      <c r="A21" s="338"/>
      <c r="B21" s="583"/>
      <c r="C21" s="771" t="s">
        <v>938</v>
      </c>
      <c r="D21" s="771"/>
      <c r="E21" s="781"/>
      <c r="F21" s="580"/>
      <c r="G21" s="266"/>
      <c r="H21" s="275"/>
      <c r="I21" s="275"/>
      <c r="J21" s="285"/>
      <c r="K21" s="222">
        <f>SUM(H21:J21)</f>
        <v>0</v>
      </c>
      <c r="L21" s="222">
        <f>ROUND(F21*E21,2)</f>
        <v>0</v>
      </c>
      <c r="M21" s="222">
        <f>ROUND(H21*E21,2)</f>
        <v>0</v>
      </c>
      <c r="N21" s="222">
        <f>ROUND(I21*E21,2)</f>
        <v>0</v>
      </c>
      <c r="O21" s="222">
        <f>ROUND(J21*E21,2)</f>
        <v>0</v>
      </c>
      <c r="P21" s="250">
        <f>SUM(M21:O21)</f>
        <v>0</v>
      </c>
    </row>
    <row r="22" spans="1:16" s="56" customFormat="1">
      <c r="A22" s="279">
        <v>7</v>
      </c>
      <c r="B22" s="583"/>
      <c r="C22" s="782" t="s">
        <v>693</v>
      </c>
      <c r="D22" s="783" t="s">
        <v>111</v>
      </c>
      <c r="E22" s="784">
        <v>280</v>
      </c>
      <c r="F22" s="580"/>
      <c r="G22" s="266"/>
      <c r="H22" s="275"/>
      <c r="I22" s="316">
        <v>3.1</v>
      </c>
      <c r="J22" s="285"/>
      <c r="K22" s="222">
        <f t="shared" ref="K22" si="19">SUM(H22:J22)</f>
        <v>3.1</v>
      </c>
      <c r="L22" s="222">
        <f t="shared" ref="L22" si="20">ROUND(F22*E22,2)</f>
        <v>0</v>
      </c>
      <c r="M22" s="222">
        <f t="shared" ref="M22" si="21">ROUND(H22*E22,2)</f>
        <v>0</v>
      </c>
      <c r="N22" s="222">
        <f t="shared" ref="N22" si="22">ROUND(I22*E22,2)</f>
        <v>868</v>
      </c>
      <c r="O22" s="222">
        <f t="shared" ref="O22" si="23">ROUND(J22*E22,2)</f>
        <v>0</v>
      </c>
      <c r="P22" s="250">
        <f t="shared" ref="P22" si="24">SUM(M22:O22)</f>
        <v>868</v>
      </c>
    </row>
    <row r="23" spans="1:16" s="56" customFormat="1">
      <c r="A23" s="279">
        <v>8</v>
      </c>
      <c r="B23" s="583"/>
      <c r="C23" s="782" t="s">
        <v>694</v>
      </c>
      <c r="D23" s="785" t="s">
        <v>111</v>
      </c>
      <c r="E23" s="786">
        <v>80</v>
      </c>
      <c r="F23" s="580"/>
      <c r="G23" s="266"/>
      <c r="H23" s="275"/>
      <c r="I23" s="316">
        <v>1.25</v>
      </c>
      <c r="J23" s="285"/>
      <c r="K23" s="222">
        <f>SUM(H23:J23)</f>
        <v>1.25</v>
      </c>
      <c r="L23" s="222">
        <f>ROUND(F23*E23,2)</f>
        <v>0</v>
      </c>
      <c r="M23" s="222">
        <f>ROUND(H23*E23,2)</f>
        <v>0</v>
      </c>
      <c r="N23" s="222">
        <f>ROUND(I23*E23,2)</f>
        <v>100</v>
      </c>
      <c r="O23" s="222">
        <f>ROUND(J23*E23,2)</f>
        <v>0</v>
      </c>
      <c r="P23" s="250">
        <f>SUM(M23:O23)</f>
        <v>100</v>
      </c>
    </row>
    <row r="24" spans="1:16" s="56" customFormat="1" ht="24.9">
      <c r="A24" s="279">
        <v>9</v>
      </c>
      <c r="B24" s="583"/>
      <c r="C24" s="782" t="s">
        <v>699</v>
      </c>
      <c r="D24" s="783" t="s">
        <v>118</v>
      </c>
      <c r="E24" s="784">
        <v>16</v>
      </c>
      <c r="F24" s="580"/>
      <c r="G24" s="266"/>
      <c r="H24" s="275"/>
      <c r="I24" s="316">
        <v>3.6</v>
      </c>
      <c r="J24" s="285"/>
      <c r="K24" s="222">
        <f>SUM(H24:J24)</f>
        <v>3.6</v>
      </c>
      <c r="L24" s="222">
        <f>ROUND(F24*E24,2)</f>
        <v>0</v>
      </c>
      <c r="M24" s="222">
        <f>ROUND(H24*E24,2)</f>
        <v>0</v>
      </c>
      <c r="N24" s="222">
        <f>ROUND(I24*E24,2)</f>
        <v>57.6</v>
      </c>
      <c r="O24" s="222">
        <f>ROUND(J24*E24,2)</f>
        <v>0</v>
      </c>
      <c r="P24" s="250">
        <f>SUM(M24:O24)</f>
        <v>57.6</v>
      </c>
    </row>
    <row r="25" spans="1:16" s="56" customFormat="1" ht="24.9">
      <c r="A25" s="279">
        <v>10</v>
      </c>
      <c r="B25" s="583"/>
      <c r="C25" s="782" t="s">
        <v>700</v>
      </c>
      <c r="D25" s="783" t="s">
        <v>118</v>
      </c>
      <c r="E25" s="784">
        <v>96</v>
      </c>
      <c r="F25" s="580"/>
      <c r="G25" s="266"/>
      <c r="H25" s="275"/>
      <c r="I25" s="316">
        <v>2.5499999999999998</v>
      </c>
      <c r="J25" s="285"/>
      <c r="K25" s="222">
        <f t="shared" ref="K25:K44" si="25">SUM(H25:J25)</f>
        <v>2.5499999999999998</v>
      </c>
      <c r="L25" s="222">
        <f t="shared" ref="L25:L44" si="26">ROUND(F25*E25,2)</f>
        <v>0</v>
      </c>
      <c r="M25" s="222">
        <f t="shared" ref="M25:M44" si="27">ROUND(H25*E25,2)</f>
        <v>0</v>
      </c>
      <c r="N25" s="222">
        <f t="shared" ref="N25:N44" si="28">ROUND(I25*E25,2)</f>
        <v>244.8</v>
      </c>
      <c r="O25" s="222">
        <f t="shared" ref="O25:O44" si="29">ROUND(J25*E25,2)</f>
        <v>0</v>
      </c>
      <c r="P25" s="250">
        <f t="shared" ref="P25:P44" si="30">SUM(M25:O25)</f>
        <v>244.8</v>
      </c>
    </row>
    <row r="26" spans="1:16" s="56" customFormat="1">
      <c r="A26" s="279">
        <v>11</v>
      </c>
      <c r="B26" s="583"/>
      <c r="C26" s="782" t="s">
        <v>703</v>
      </c>
      <c r="D26" s="787" t="s">
        <v>118</v>
      </c>
      <c r="E26" s="784">
        <v>16</v>
      </c>
      <c r="F26" s="580"/>
      <c r="G26" s="266"/>
      <c r="H26" s="275"/>
      <c r="I26" s="584">
        <v>2.08</v>
      </c>
      <c r="J26" s="285"/>
      <c r="K26" s="222">
        <f t="shared" si="25"/>
        <v>2.08</v>
      </c>
      <c r="L26" s="222">
        <f t="shared" si="26"/>
        <v>0</v>
      </c>
      <c r="M26" s="222">
        <f t="shared" si="27"/>
        <v>0</v>
      </c>
      <c r="N26" s="222">
        <f t="shared" si="28"/>
        <v>33.28</v>
      </c>
      <c r="O26" s="222">
        <f t="shared" si="29"/>
        <v>0</v>
      </c>
      <c r="P26" s="250">
        <f t="shared" si="30"/>
        <v>33.28</v>
      </c>
    </row>
    <row r="27" spans="1:16" s="56" customFormat="1">
      <c r="A27" s="279">
        <v>12</v>
      </c>
      <c r="B27" s="583"/>
      <c r="C27" s="782" t="s">
        <v>707</v>
      </c>
      <c r="D27" s="783" t="s">
        <v>118</v>
      </c>
      <c r="E27" s="784">
        <v>2</v>
      </c>
      <c r="F27" s="580"/>
      <c r="G27" s="266"/>
      <c r="H27" s="275"/>
      <c r="I27" s="316">
        <v>5.6</v>
      </c>
      <c r="J27" s="285"/>
      <c r="K27" s="222">
        <f t="shared" si="25"/>
        <v>5.6</v>
      </c>
      <c r="L27" s="222">
        <f t="shared" si="26"/>
        <v>0</v>
      </c>
      <c r="M27" s="222">
        <f t="shared" si="27"/>
        <v>0</v>
      </c>
      <c r="N27" s="222">
        <f t="shared" si="28"/>
        <v>11.2</v>
      </c>
      <c r="O27" s="222">
        <f t="shared" si="29"/>
        <v>0</v>
      </c>
      <c r="P27" s="250">
        <f t="shared" si="30"/>
        <v>11.2</v>
      </c>
    </row>
    <row r="28" spans="1:16" s="56" customFormat="1">
      <c r="A28" s="279">
        <v>13</v>
      </c>
      <c r="B28" s="583"/>
      <c r="C28" s="782" t="s">
        <v>1705</v>
      </c>
      <c r="D28" s="786" t="s">
        <v>111</v>
      </c>
      <c r="E28" s="786">
        <v>40</v>
      </c>
      <c r="F28" s="580"/>
      <c r="G28" s="266"/>
      <c r="H28" s="275"/>
      <c r="I28" s="316">
        <v>2.2999999999999998</v>
      </c>
      <c r="J28" s="285"/>
      <c r="K28" s="222">
        <f t="shared" si="25"/>
        <v>2.2999999999999998</v>
      </c>
      <c r="L28" s="222">
        <f t="shared" si="26"/>
        <v>0</v>
      </c>
      <c r="M28" s="222">
        <f t="shared" si="27"/>
        <v>0</v>
      </c>
      <c r="N28" s="222">
        <f t="shared" si="28"/>
        <v>92</v>
      </c>
      <c r="O28" s="222">
        <f t="shared" si="29"/>
        <v>0</v>
      </c>
      <c r="P28" s="250">
        <f t="shared" si="30"/>
        <v>92</v>
      </c>
    </row>
    <row r="29" spans="1:16" s="56" customFormat="1" ht="24.9">
      <c r="A29" s="279">
        <v>14</v>
      </c>
      <c r="B29" s="583"/>
      <c r="C29" s="788" t="s">
        <v>1706</v>
      </c>
      <c r="D29" s="772" t="s">
        <v>111</v>
      </c>
      <c r="E29" s="772">
        <v>11</v>
      </c>
      <c r="F29" s="580"/>
      <c r="G29" s="266"/>
      <c r="H29" s="275"/>
      <c r="I29" s="363">
        <v>2.4500000000000002</v>
      </c>
      <c r="J29" s="285"/>
      <c r="K29" s="222">
        <f t="shared" si="25"/>
        <v>2.4500000000000002</v>
      </c>
      <c r="L29" s="222">
        <f t="shared" si="26"/>
        <v>0</v>
      </c>
      <c r="M29" s="222">
        <f t="shared" si="27"/>
        <v>0</v>
      </c>
      <c r="N29" s="222">
        <f t="shared" si="28"/>
        <v>26.95</v>
      </c>
      <c r="O29" s="222">
        <f t="shared" si="29"/>
        <v>0</v>
      </c>
      <c r="P29" s="250">
        <f t="shared" si="30"/>
        <v>26.95</v>
      </c>
    </row>
    <row r="30" spans="1:16" s="56" customFormat="1">
      <c r="A30" s="338"/>
      <c r="B30" s="583"/>
      <c r="C30" s="789" t="s">
        <v>1707</v>
      </c>
      <c r="D30" s="789"/>
      <c r="E30" s="790"/>
      <c r="F30" s="580"/>
      <c r="G30" s="266"/>
      <c r="H30" s="275"/>
      <c r="I30" s="275"/>
      <c r="J30" s="285"/>
      <c r="K30" s="222">
        <f t="shared" si="25"/>
        <v>0</v>
      </c>
      <c r="L30" s="222">
        <f t="shared" si="26"/>
        <v>0</v>
      </c>
      <c r="M30" s="222">
        <f t="shared" si="27"/>
        <v>0</v>
      </c>
      <c r="N30" s="222">
        <f t="shared" si="28"/>
        <v>0</v>
      </c>
      <c r="O30" s="222">
        <f t="shared" si="29"/>
        <v>0</v>
      </c>
      <c r="P30" s="250">
        <f t="shared" si="30"/>
        <v>0</v>
      </c>
    </row>
    <row r="31" spans="1:16" s="56" customFormat="1">
      <c r="A31" s="338"/>
      <c r="B31" s="583"/>
      <c r="C31" s="791" t="s">
        <v>970</v>
      </c>
      <c r="D31" s="791"/>
      <c r="E31" s="792"/>
      <c r="F31" s="580"/>
      <c r="G31" s="266"/>
      <c r="H31" s="275"/>
      <c r="I31" s="275"/>
      <c r="J31" s="285"/>
      <c r="K31" s="222">
        <f t="shared" si="25"/>
        <v>0</v>
      </c>
      <c r="L31" s="222">
        <f t="shared" si="26"/>
        <v>0</v>
      </c>
      <c r="M31" s="222">
        <f t="shared" si="27"/>
        <v>0</v>
      </c>
      <c r="N31" s="222">
        <f t="shared" si="28"/>
        <v>0</v>
      </c>
      <c r="O31" s="222">
        <f t="shared" si="29"/>
        <v>0</v>
      </c>
      <c r="P31" s="250">
        <f t="shared" si="30"/>
        <v>0</v>
      </c>
    </row>
    <row r="32" spans="1:16" s="56" customFormat="1" ht="24.9">
      <c r="A32" s="279">
        <v>15</v>
      </c>
      <c r="B32" s="583"/>
      <c r="C32" s="773" t="s">
        <v>1708</v>
      </c>
      <c r="D32" s="772" t="s">
        <v>111</v>
      </c>
      <c r="E32" s="792">
        <v>10</v>
      </c>
      <c r="F32" s="255">
        <v>1.2</v>
      </c>
      <c r="G32" s="637">
        <v>10</v>
      </c>
      <c r="H32" s="640">
        <f t="shared" ref="H32:H41" si="31">ROUND(F32*G32,2)</f>
        <v>12</v>
      </c>
      <c r="I32" s="709"/>
      <c r="J32" s="255">
        <v>3.5</v>
      </c>
      <c r="K32" s="222">
        <f t="shared" si="25"/>
        <v>15.5</v>
      </c>
      <c r="L32" s="222">
        <f t="shared" si="26"/>
        <v>12</v>
      </c>
      <c r="M32" s="222">
        <f t="shared" si="27"/>
        <v>120</v>
      </c>
      <c r="N32" s="222">
        <f t="shared" si="28"/>
        <v>0</v>
      </c>
      <c r="O32" s="222">
        <f t="shared" si="29"/>
        <v>35</v>
      </c>
      <c r="P32" s="250">
        <f t="shared" si="30"/>
        <v>155</v>
      </c>
    </row>
    <row r="33" spans="1:16" s="56" customFormat="1" ht="37.35">
      <c r="A33" s="279">
        <v>16</v>
      </c>
      <c r="B33" s="583"/>
      <c r="C33" s="776" t="s">
        <v>1709</v>
      </c>
      <c r="D33" s="777" t="s">
        <v>111</v>
      </c>
      <c r="E33" s="792">
        <v>63</v>
      </c>
      <c r="F33" s="255">
        <v>0.6</v>
      </c>
      <c r="G33" s="637">
        <v>10</v>
      </c>
      <c r="H33" s="640">
        <f t="shared" si="31"/>
        <v>6</v>
      </c>
      <c r="I33" s="709"/>
      <c r="J33" s="255">
        <v>4</v>
      </c>
      <c r="K33" s="222">
        <f t="shared" si="25"/>
        <v>10</v>
      </c>
      <c r="L33" s="222">
        <f t="shared" si="26"/>
        <v>37.799999999999997</v>
      </c>
      <c r="M33" s="222">
        <f t="shared" si="27"/>
        <v>378</v>
      </c>
      <c r="N33" s="222">
        <f t="shared" si="28"/>
        <v>0</v>
      </c>
      <c r="O33" s="222">
        <f t="shared" si="29"/>
        <v>252</v>
      </c>
      <c r="P33" s="250">
        <f t="shared" si="30"/>
        <v>630</v>
      </c>
    </row>
    <row r="34" spans="1:16" s="56" customFormat="1" ht="24.9">
      <c r="A34" s="279">
        <v>17</v>
      </c>
      <c r="B34" s="583"/>
      <c r="C34" s="773" t="s">
        <v>1710</v>
      </c>
      <c r="D34" s="772" t="s">
        <v>111</v>
      </c>
      <c r="E34" s="792">
        <v>30</v>
      </c>
      <c r="F34" s="255">
        <v>0.65</v>
      </c>
      <c r="G34" s="637">
        <v>10</v>
      </c>
      <c r="H34" s="640">
        <f t="shared" si="31"/>
        <v>6.5</v>
      </c>
      <c r="I34" s="709"/>
      <c r="J34" s="255">
        <v>4</v>
      </c>
      <c r="K34" s="222">
        <f t="shared" si="25"/>
        <v>10.5</v>
      </c>
      <c r="L34" s="222">
        <f t="shared" si="26"/>
        <v>19.5</v>
      </c>
      <c r="M34" s="222">
        <f t="shared" si="27"/>
        <v>195</v>
      </c>
      <c r="N34" s="222">
        <f t="shared" si="28"/>
        <v>0</v>
      </c>
      <c r="O34" s="222">
        <f t="shared" si="29"/>
        <v>120</v>
      </c>
      <c r="P34" s="250">
        <f t="shared" si="30"/>
        <v>315</v>
      </c>
    </row>
    <row r="35" spans="1:16" s="56" customFormat="1" ht="37.35">
      <c r="A35" s="279">
        <v>18</v>
      </c>
      <c r="B35" s="583"/>
      <c r="C35" s="776" t="s">
        <v>1711</v>
      </c>
      <c r="D35" s="777" t="s">
        <v>111</v>
      </c>
      <c r="E35" s="792">
        <v>22</v>
      </c>
      <c r="F35" s="255">
        <v>0.85</v>
      </c>
      <c r="G35" s="637">
        <v>10</v>
      </c>
      <c r="H35" s="640">
        <f t="shared" si="31"/>
        <v>8.5</v>
      </c>
      <c r="I35" s="709"/>
      <c r="J35" s="255">
        <v>4</v>
      </c>
      <c r="K35" s="222">
        <f t="shared" si="25"/>
        <v>12.5</v>
      </c>
      <c r="L35" s="222">
        <f t="shared" si="26"/>
        <v>18.7</v>
      </c>
      <c r="M35" s="222">
        <f t="shared" si="27"/>
        <v>187</v>
      </c>
      <c r="N35" s="222">
        <f t="shared" si="28"/>
        <v>0</v>
      </c>
      <c r="O35" s="222">
        <f t="shared" si="29"/>
        <v>88</v>
      </c>
      <c r="P35" s="250">
        <f t="shared" si="30"/>
        <v>275</v>
      </c>
    </row>
    <row r="36" spans="1:16" s="56" customFormat="1" ht="24.9">
      <c r="A36" s="279">
        <v>19</v>
      </c>
      <c r="B36" s="583"/>
      <c r="C36" s="776" t="s">
        <v>1712</v>
      </c>
      <c r="D36" s="777" t="s">
        <v>111</v>
      </c>
      <c r="E36" s="792">
        <v>224</v>
      </c>
      <c r="F36" s="255">
        <v>0.15</v>
      </c>
      <c r="G36" s="637">
        <v>10</v>
      </c>
      <c r="H36" s="640">
        <f t="shared" si="31"/>
        <v>1.5</v>
      </c>
      <c r="I36" s="709"/>
      <c r="J36" s="255">
        <v>0.1</v>
      </c>
      <c r="K36" s="222">
        <f t="shared" si="25"/>
        <v>1.6</v>
      </c>
      <c r="L36" s="222">
        <f t="shared" si="26"/>
        <v>33.6</v>
      </c>
      <c r="M36" s="222">
        <f t="shared" si="27"/>
        <v>336</v>
      </c>
      <c r="N36" s="222">
        <f t="shared" si="28"/>
        <v>0</v>
      </c>
      <c r="O36" s="222">
        <f t="shared" si="29"/>
        <v>22.4</v>
      </c>
      <c r="P36" s="250">
        <f t="shared" si="30"/>
        <v>358.4</v>
      </c>
    </row>
    <row r="37" spans="1:16" s="56" customFormat="1" ht="24.9">
      <c r="A37" s="279">
        <v>20</v>
      </c>
      <c r="B37" s="583"/>
      <c r="C37" s="776" t="s">
        <v>1713</v>
      </c>
      <c r="D37" s="777" t="s">
        <v>111</v>
      </c>
      <c r="E37" s="793">
        <v>10</v>
      </c>
      <c r="F37" s="255">
        <v>0.18</v>
      </c>
      <c r="G37" s="637">
        <v>10</v>
      </c>
      <c r="H37" s="640">
        <f t="shared" si="31"/>
        <v>1.8</v>
      </c>
      <c r="I37" s="709"/>
      <c r="J37" s="255">
        <v>0.12</v>
      </c>
      <c r="K37" s="222">
        <f t="shared" si="25"/>
        <v>1.92</v>
      </c>
      <c r="L37" s="222">
        <f t="shared" si="26"/>
        <v>1.8</v>
      </c>
      <c r="M37" s="222">
        <f t="shared" si="27"/>
        <v>18</v>
      </c>
      <c r="N37" s="222">
        <f t="shared" si="28"/>
        <v>0</v>
      </c>
      <c r="O37" s="222">
        <f t="shared" si="29"/>
        <v>1.2</v>
      </c>
      <c r="P37" s="250">
        <f t="shared" si="30"/>
        <v>19.2</v>
      </c>
    </row>
    <row r="38" spans="1:16" s="56" customFormat="1">
      <c r="A38" s="279">
        <v>21</v>
      </c>
      <c r="B38" s="583"/>
      <c r="C38" s="776" t="s">
        <v>1714</v>
      </c>
      <c r="D38" s="777" t="s">
        <v>111</v>
      </c>
      <c r="E38" s="772">
        <v>30</v>
      </c>
      <c r="F38" s="255">
        <v>0.18</v>
      </c>
      <c r="G38" s="637">
        <v>10</v>
      </c>
      <c r="H38" s="640">
        <f t="shared" si="31"/>
        <v>1.8</v>
      </c>
      <c r="I38" s="709"/>
      <c r="J38" s="255">
        <v>0.12</v>
      </c>
      <c r="K38" s="222">
        <f t="shared" si="25"/>
        <v>1.92</v>
      </c>
      <c r="L38" s="222">
        <f t="shared" si="26"/>
        <v>5.4</v>
      </c>
      <c r="M38" s="222">
        <f t="shared" si="27"/>
        <v>54</v>
      </c>
      <c r="N38" s="222">
        <f t="shared" si="28"/>
        <v>0</v>
      </c>
      <c r="O38" s="222">
        <f t="shared" si="29"/>
        <v>3.6</v>
      </c>
      <c r="P38" s="250">
        <f t="shared" si="30"/>
        <v>57.6</v>
      </c>
    </row>
    <row r="39" spans="1:16" s="56" customFormat="1" ht="24.9">
      <c r="A39" s="279">
        <v>22</v>
      </c>
      <c r="B39" s="583"/>
      <c r="C39" s="776" t="s">
        <v>1715</v>
      </c>
      <c r="D39" s="777" t="s">
        <v>111</v>
      </c>
      <c r="E39" s="772">
        <v>401</v>
      </c>
      <c r="F39" s="255">
        <v>0.14000000000000001</v>
      </c>
      <c r="G39" s="637">
        <v>10</v>
      </c>
      <c r="H39" s="640">
        <f t="shared" si="31"/>
        <v>1.4</v>
      </c>
      <c r="I39" s="363"/>
      <c r="J39" s="377">
        <v>0.15</v>
      </c>
      <c r="K39" s="222">
        <f t="shared" si="25"/>
        <v>1.5499999999999998</v>
      </c>
      <c r="L39" s="222">
        <f t="shared" si="26"/>
        <v>56.14</v>
      </c>
      <c r="M39" s="222">
        <f t="shared" si="27"/>
        <v>561.4</v>
      </c>
      <c r="N39" s="222">
        <f t="shared" si="28"/>
        <v>0</v>
      </c>
      <c r="O39" s="222">
        <f t="shared" si="29"/>
        <v>60.15</v>
      </c>
      <c r="P39" s="250">
        <f t="shared" si="30"/>
        <v>621.54999999999995</v>
      </c>
    </row>
    <row r="40" spans="1:16" s="56" customFormat="1" ht="24.9">
      <c r="A40" s="279">
        <v>23</v>
      </c>
      <c r="B40" s="583"/>
      <c r="C40" s="776" t="s">
        <v>1716</v>
      </c>
      <c r="D40" s="777" t="s">
        <v>111</v>
      </c>
      <c r="E40" s="793">
        <v>109</v>
      </c>
      <c r="F40" s="255">
        <v>0.14000000000000001</v>
      </c>
      <c r="G40" s="637">
        <v>10</v>
      </c>
      <c r="H40" s="640">
        <f t="shared" si="31"/>
        <v>1.4</v>
      </c>
      <c r="I40" s="363"/>
      <c r="J40" s="377">
        <v>0.15</v>
      </c>
      <c r="K40" s="222">
        <f t="shared" si="25"/>
        <v>1.5499999999999998</v>
      </c>
      <c r="L40" s="222">
        <f t="shared" si="26"/>
        <v>15.26</v>
      </c>
      <c r="M40" s="222">
        <f t="shared" si="27"/>
        <v>152.6</v>
      </c>
      <c r="N40" s="222">
        <f t="shared" si="28"/>
        <v>0</v>
      </c>
      <c r="O40" s="222">
        <f t="shared" si="29"/>
        <v>16.350000000000001</v>
      </c>
      <c r="P40" s="250">
        <f t="shared" si="30"/>
        <v>168.95</v>
      </c>
    </row>
    <row r="41" spans="1:16" s="56" customFormat="1">
      <c r="A41" s="279">
        <v>24</v>
      </c>
      <c r="B41" s="583"/>
      <c r="C41" s="776" t="s">
        <v>1717</v>
      </c>
      <c r="D41" s="777" t="s">
        <v>118</v>
      </c>
      <c r="E41" s="793">
        <v>12</v>
      </c>
      <c r="F41" s="255">
        <v>1.8</v>
      </c>
      <c r="G41" s="637">
        <v>10</v>
      </c>
      <c r="H41" s="640">
        <f t="shared" si="31"/>
        <v>18</v>
      </c>
      <c r="I41" s="363"/>
      <c r="J41" s="377">
        <v>0.8</v>
      </c>
      <c r="K41" s="222">
        <f t="shared" si="25"/>
        <v>18.8</v>
      </c>
      <c r="L41" s="222">
        <f t="shared" si="26"/>
        <v>21.6</v>
      </c>
      <c r="M41" s="222">
        <f t="shared" si="27"/>
        <v>216</v>
      </c>
      <c r="N41" s="222">
        <f t="shared" si="28"/>
        <v>0</v>
      </c>
      <c r="O41" s="222">
        <f t="shared" si="29"/>
        <v>9.6</v>
      </c>
      <c r="P41" s="250">
        <f t="shared" si="30"/>
        <v>225.6</v>
      </c>
    </row>
    <row r="42" spans="1:16" s="56" customFormat="1">
      <c r="A42" s="299"/>
      <c r="B42" s="583"/>
      <c r="C42" s="771" t="s">
        <v>938</v>
      </c>
      <c r="D42" s="771"/>
      <c r="E42" s="794"/>
      <c r="F42" s="313"/>
      <c r="G42" s="266"/>
      <c r="H42" s="222"/>
      <c r="I42" s="267"/>
      <c r="J42" s="268"/>
      <c r="K42" s="222">
        <f t="shared" si="25"/>
        <v>0</v>
      </c>
      <c r="L42" s="222">
        <f t="shared" si="26"/>
        <v>0</v>
      </c>
      <c r="M42" s="222">
        <f t="shared" si="27"/>
        <v>0</v>
      </c>
      <c r="N42" s="222">
        <f t="shared" si="28"/>
        <v>0</v>
      </c>
      <c r="O42" s="222">
        <f t="shared" si="29"/>
        <v>0</v>
      </c>
      <c r="P42" s="250">
        <f t="shared" si="30"/>
        <v>0</v>
      </c>
    </row>
    <row r="43" spans="1:16" s="56" customFormat="1">
      <c r="A43" s="261">
        <v>25</v>
      </c>
      <c r="B43" s="583"/>
      <c r="C43" s="795" t="s">
        <v>1718</v>
      </c>
      <c r="D43" s="778" t="s">
        <v>111</v>
      </c>
      <c r="E43" s="794">
        <v>510</v>
      </c>
      <c r="F43" s="257"/>
      <c r="G43" s="586"/>
      <c r="H43" s="275"/>
      <c r="I43" s="257">
        <v>12.2</v>
      </c>
      <c r="J43" s="389">
        <f t="shared" ref="J43:J44" si="32">H43*0.1</f>
        <v>0</v>
      </c>
      <c r="K43" s="222">
        <f t="shared" si="25"/>
        <v>12.2</v>
      </c>
      <c r="L43" s="222">
        <f t="shared" si="26"/>
        <v>0</v>
      </c>
      <c r="M43" s="222">
        <f t="shared" si="27"/>
        <v>0</v>
      </c>
      <c r="N43" s="222">
        <f t="shared" si="28"/>
        <v>6222</v>
      </c>
      <c r="O43" s="222">
        <f t="shared" si="29"/>
        <v>0</v>
      </c>
      <c r="P43" s="250">
        <f t="shared" si="30"/>
        <v>6222</v>
      </c>
    </row>
    <row r="44" spans="1:16" s="56" customFormat="1">
      <c r="A44" s="261">
        <v>26</v>
      </c>
      <c r="B44" s="583"/>
      <c r="C44" s="795" t="s">
        <v>1719</v>
      </c>
      <c r="D44" s="778" t="s">
        <v>111</v>
      </c>
      <c r="E44" s="794">
        <v>200</v>
      </c>
      <c r="F44" s="257"/>
      <c r="G44" s="586"/>
      <c r="H44" s="275"/>
      <c r="I44" s="257">
        <v>1.08</v>
      </c>
      <c r="J44" s="389">
        <f t="shared" si="32"/>
        <v>0</v>
      </c>
      <c r="K44" s="222">
        <f t="shared" si="25"/>
        <v>1.08</v>
      </c>
      <c r="L44" s="222">
        <f t="shared" si="26"/>
        <v>0</v>
      </c>
      <c r="M44" s="222">
        <f t="shared" si="27"/>
        <v>0</v>
      </c>
      <c r="N44" s="222">
        <f t="shared" si="28"/>
        <v>216</v>
      </c>
      <c r="O44" s="222">
        <f t="shared" si="29"/>
        <v>0</v>
      </c>
      <c r="P44" s="250">
        <f t="shared" si="30"/>
        <v>216</v>
      </c>
    </row>
    <row r="45" spans="1:16" s="56" customFormat="1" ht="24.9">
      <c r="A45" s="261">
        <v>27</v>
      </c>
      <c r="B45" s="583"/>
      <c r="C45" s="773" t="s">
        <v>1720</v>
      </c>
      <c r="D45" s="775" t="s">
        <v>111</v>
      </c>
      <c r="E45" s="796" t="s">
        <v>1721</v>
      </c>
      <c r="F45" s="269"/>
      <c r="G45" s="266"/>
      <c r="H45" s="222"/>
      <c r="I45" s="267">
        <v>2.4500000000000002</v>
      </c>
      <c r="J45" s="268"/>
      <c r="K45" s="222">
        <f t="shared" si="6"/>
        <v>2.4500000000000002</v>
      </c>
      <c r="L45" s="222">
        <f t="shared" si="7"/>
        <v>0</v>
      </c>
      <c r="M45" s="222">
        <f t="shared" si="8"/>
        <v>0</v>
      </c>
      <c r="N45" s="222">
        <f t="shared" si="9"/>
        <v>196</v>
      </c>
      <c r="O45" s="222">
        <f t="shared" si="10"/>
        <v>0</v>
      </c>
      <c r="P45" s="250">
        <f t="shared" si="11"/>
        <v>196</v>
      </c>
    </row>
    <row r="46" spans="1:16" s="56" customFormat="1" ht="24.9">
      <c r="A46" s="261">
        <v>28</v>
      </c>
      <c r="B46" s="583"/>
      <c r="C46" s="773" t="s">
        <v>1722</v>
      </c>
      <c r="D46" s="775" t="s">
        <v>111</v>
      </c>
      <c r="E46" s="796" t="s">
        <v>1723</v>
      </c>
      <c r="F46" s="393"/>
      <c r="G46" s="266"/>
      <c r="H46" s="222"/>
      <c r="I46" s="222">
        <v>1.96</v>
      </c>
      <c r="J46" s="268"/>
      <c r="K46" s="222">
        <f t="shared" si="6"/>
        <v>1.96</v>
      </c>
      <c r="L46" s="222">
        <f t="shared" si="7"/>
        <v>0</v>
      </c>
      <c r="M46" s="222">
        <f t="shared" si="8"/>
        <v>0</v>
      </c>
      <c r="N46" s="222">
        <f t="shared" si="9"/>
        <v>68.599999999999994</v>
      </c>
      <c r="O46" s="222">
        <f t="shared" si="10"/>
        <v>0</v>
      </c>
      <c r="P46" s="250">
        <f t="shared" si="11"/>
        <v>68.599999999999994</v>
      </c>
    </row>
    <row r="47" spans="1:16" s="56" customFormat="1" ht="24.9">
      <c r="A47" s="261">
        <v>29</v>
      </c>
      <c r="B47" s="583"/>
      <c r="C47" s="773" t="s">
        <v>1724</v>
      </c>
      <c r="D47" s="775" t="s">
        <v>111</v>
      </c>
      <c r="E47" s="796" t="s">
        <v>1725</v>
      </c>
      <c r="F47" s="393"/>
      <c r="G47" s="266"/>
      <c r="H47" s="222"/>
      <c r="I47" s="222">
        <v>2.0299999999999998</v>
      </c>
      <c r="J47" s="268"/>
      <c r="K47" s="222">
        <f t="shared" si="6"/>
        <v>2.0299999999999998</v>
      </c>
      <c r="L47" s="222">
        <f t="shared" si="7"/>
        <v>0</v>
      </c>
      <c r="M47" s="222">
        <f t="shared" si="8"/>
        <v>0</v>
      </c>
      <c r="N47" s="222">
        <f t="shared" si="9"/>
        <v>221.27</v>
      </c>
      <c r="O47" s="222">
        <f t="shared" si="10"/>
        <v>0</v>
      </c>
      <c r="P47" s="250">
        <f t="shared" si="11"/>
        <v>221.27</v>
      </c>
    </row>
    <row r="48" spans="1:16" s="56" customFormat="1" ht="24.9">
      <c r="A48" s="261">
        <v>30</v>
      </c>
      <c r="B48" s="583"/>
      <c r="C48" s="773" t="s">
        <v>1726</v>
      </c>
      <c r="D48" s="775" t="s">
        <v>721</v>
      </c>
      <c r="E48" s="796" t="s">
        <v>1727</v>
      </c>
      <c r="F48" s="393"/>
      <c r="G48" s="266"/>
      <c r="H48" s="222"/>
      <c r="I48" s="222">
        <v>11.49</v>
      </c>
      <c r="J48" s="268"/>
      <c r="K48" s="222">
        <f>SUM(H48:J48)</f>
        <v>11.49</v>
      </c>
      <c r="L48" s="222">
        <f>ROUND(F48*E48,2)</f>
        <v>0</v>
      </c>
      <c r="M48" s="222">
        <f>ROUND(H48*E48,2)</f>
        <v>0</v>
      </c>
      <c r="N48" s="222">
        <f>ROUND(I48*E48,2)</f>
        <v>137.88</v>
      </c>
      <c r="O48" s="222">
        <f>ROUND(J48*E48,2)</f>
        <v>0</v>
      </c>
      <c r="P48" s="250">
        <f>SUM(M48:O48)</f>
        <v>137.88</v>
      </c>
    </row>
    <row r="49" spans="1:16" s="56" customFormat="1">
      <c r="A49" s="261">
        <v>31</v>
      </c>
      <c r="B49" s="583"/>
      <c r="C49" s="773" t="s">
        <v>1728</v>
      </c>
      <c r="D49" s="775" t="s">
        <v>721</v>
      </c>
      <c r="E49" s="796" t="s">
        <v>533</v>
      </c>
      <c r="F49" s="393"/>
      <c r="G49" s="266"/>
      <c r="H49" s="222"/>
      <c r="I49" s="222">
        <v>426</v>
      </c>
      <c r="J49" s="268"/>
      <c r="K49" s="222">
        <f>SUM(H49:J49)</f>
        <v>426</v>
      </c>
      <c r="L49" s="222">
        <f>ROUND(F49*E49,2)</f>
        <v>0</v>
      </c>
      <c r="M49" s="222">
        <f>ROUND(H49*E49,2)</f>
        <v>0</v>
      </c>
      <c r="N49" s="222">
        <f>ROUND(I49*E49,2)</f>
        <v>426</v>
      </c>
      <c r="O49" s="222">
        <f>ROUND(J49*E49,2)</f>
        <v>0</v>
      </c>
      <c r="P49" s="250">
        <f>SUM(M49:O49)</f>
        <v>426</v>
      </c>
    </row>
    <row r="50" spans="1:16" s="56" customFormat="1">
      <c r="A50" s="261">
        <v>32</v>
      </c>
      <c r="B50" s="583"/>
      <c r="C50" s="788" t="s">
        <v>1729</v>
      </c>
      <c r="D50" s="797" t="s">
        <v>111</v>
      </c>
      <c r="E50" s="798">
        <v>300</v>
      </c>
      <c r="F50" s="393"/>
      <c r="G50" s="266"/>
      <c r="H50" s="222"/>
      <c r="I50" s="222">
        <v>0.4</v>
      </c>
      <c r="J50" s="268"/>
      <c r="K50" s="222">
        <f t="shared" si="6"/>
        <v>0.4</v>
      </c>
      <c r="L50" s="222">
        <f t="shared" si="7"/>
        <v>0</v>
      </c>
      <c r="M50" s="222">
        <f t="shared" si="8"/>
        <v>0</v>
      </c>
      <c r="N50" s="222">
        <f t="shared" si="9"/>
        <v>120</v>
      </c>
      <c r="O50" s="222">
        <f t="shared" si="10"/>
        <v>0</v>
      </c>
      <c r="P50" s="250">
        <f t="shared" si="11"/>
        <v>120</v>
      </c>
    </row>
    <row r="51" spans="1:16" s="56" customFormat="1">
      <c r="A51" s="299"/>
      <c r="B51" s="583"/>
      <c r="C51" s="799" t="s">
        <v>1730</v>
      </c>
      <c r="D51" s="769"/>
      <c r="E51" s="800"/>
      <c r="F51" s="393"/>
      <c r="G51" s="266"/>
      <c r="H51" s="222"/>
      <c r="I51" s="222"/>
      <c r="J51" s="268"/>
      <c r="K51" s="222">
        <f>SUM(H51:J51)</f>
        <v>0</v>
      </c>
      <c r="L51" s="222">
        <f>ROUND(F51*E51,2)</f>
        <v>0</v>
      </c>
      <c r="M51" s="222">
        <f>ROUND(H51*E51,2)</f>
        <v>0</v>
      </c>
      <c r="N51" s="222">
        <f>ROUND(I51*E51,2)</f>
        <v>0</v>
      </c>
      <c r="O51" s="222">
        <f>ROUND(J51*E51,2)</f>
        <v>0</v>
      </c>
      <c r="P51" s="250">
        <f>SUM(M51:O51)</f>
        <v>0</v>
      </c>
    </row>
    <row r="52" spans="1:16" s="56" customFormat="1">
      <c r="A52" s="261">
        <v>33</v>
      </c>
      <c r="B52" s="583"/>
      <c r="C52" s="801" t="s">
        <v>1731</v>
      </c>
      <c r="D52" s="797" t="s">
        <v>118</v>
      </c>
      <c r="E52" s="802">
        <v>6</v>
      </c>
      <c r="F52" s="255">
        <v>4.5</v>
      </c>
      <c r="G52" s="637">
        <v>10</v>
      </c>
      <c r="H52" s="640">
        <f t="shared" ref="H52:H56" si="33">ROUND(F52*G52,2)</f>
        <v>45</v>
      </c>
      <c r="I52" s="709"/>
      <c r="J52" s="255">
        <v>6</v>
      </c>
      <c r="K52" s="222">
        <f>SUM(H52:J52)</f>
        <v>51</v>
      </c>
      <c r="L52" s="222">
        <f>ROUND(F52*E52,2)</f>
        <v>27</v>
      </c>
      <c r="M52" s="222">
        <f>ROUND(H52*E52,2)</f>
        <v>270</v>
      </c>
      <c r="N52" s="222">
        <f>ROUND(I52*E52,2)</f>
        <v>0</v>
      </c>
      <c r="O52" s="222">
        <f>ROUND(J52*E52,2)</f>
        <v>36</v>
      </c>
      <c r="P52" s="250">
        <f>SUM(M52:O52)</f>
        <v>306</v>
      </c>
    </row>
    <row r="53" spans="1:16" s="56" customFormat="1">
      <c r="A53" s="261">
        <v>34</v>
      </c>
      <c r="B53" s="583"/>
      <c r="C53" s="801" t="s">
        <v>1732</v>
      </c>
      <c r="D53" s="797" t="s">
        <v>1733</v>
      </c>
      <c r="E53" s="802">
        <v>6</v>
      </c>
      <c r="F53" s="255">
        <v>8</v>
      </c>
      <c r="G53" s="637">
        <v>10</v>
      </c>
      <c r="H53" s="640">
        <f t="shared" si="33"/>
        <v>80</v>
      </c>
      <c r="I53" s="709"/>
      <c r="J53" s="255">
        <v>2</v>
      </c>
      <c r="K53" s="222">
        <f t="shared" si="6"/>
        <v>82</v>
      </c>
      <c r="L53" s="222">
        <f t="shared" si="7"/>
        <v>48</v>
      </c>
      <c r="M53" s="222">
        <f t="shared" si="8"/>
        <v>480</v>
      </c>
      <c r="N53" s="222">
        <f t="shared" si="9"/>
        <v>0</v>
      </c>
      <c r="O53" s="222">
        <f t="shared" si="10"/>
        <v>12</v>
      </c>
      <c r="P53" s="250">
        <f t="shared" si="11"/>
        <v>492</v>
      </c>
    </row>
    <row r="54" spans="1:16" s="56" customFormat="1">
      <c r="A54" s="261">
        <v>35</v>
      </c>
      <c r="B54" s="583"/>
      <c r="C54" s="801" t="s">
        <v>1734</v>
      </c>
      <c r="D54" s="797" t="s">
        <v>1735</v>
      </c>
      <c r="E54" s="802">
        <v>0.3</v>
      </c>
      <c r="F54" s="255">
        <v>90</v>
      </c>
      <c r="G54" s="637">
        <v>10</v>
      </c>
      <c r="H54" s="640">
        <f t="shared" si="33"/>
        <v>900</v>
      </c>
      <c r="I54" s="709"/>
      <c r="J54" s="255">
        <v>25</v>
      </c>
      <c r="K54" s="222">
        <f t="shared" si="6"/>
        <v>925</v>
      </c>
      <c r="L54" s="222">
        <f t="shared" si="7"/>
        <v>27</v>
      </c>
      <c r="M54" s="222">
        <f t="shared" si="8"/>
        <v>270</v>
      </c>
      <c r="N54" s="222">
        <f t="shared" si="9"/>
        <v>0</v>
      </c>
      <c r="O54" s="222">
        <f t="shared" si="10"/>
        <v>7.5</v>
      </c>
      <c r="P54" s="250">
        <f t="shared" si="11"/>
        <v>277.5</v>
      </c>
    </row>
    <row r="55" spans="1:16" s="56" customFormat="1">
      <c r="A55" s="261">
        <v>36</v>
      </c>
      <c r="B55" s="583"/>
      <c r="C55" s="801" t="s">
        <v>1736</v>
      </c>
      <c r="D55" s="797" t="s">
        <v>1735</v>
      </c>
      <c r="E55" s="802">
        <v>0.3</v>
      </c>
      <c r="F55" s="255"/>
      <c r="G55" s="637"/>
      <c r="H55" s="640">
        <f t="shared" si="33"/>
        <v>0</v>
      </c>
      <c r="I55" s="709"/>
      <c r="J55" s="255">
        <v>1500</v>
      </c>
      <c r="K55" s="222">
        <f t="shared" si="6"/>
        <v>1500</v>
      </c>
      <c r="L55" s="222">
        <f t="shared" si="7"/>
        <v>0</v>
      </c>
      <c r="M55" s="222">
        <f t="shared" si="8"/>
        <v>0</v>
      </c>
      <c r="N55" s="222">
        <f t="shared" si="9"/>
        <v>0</v>
      </c>
      <c r="O55" s="222">
        <f t="shared" si="10"/>
        <v>450</v>
      </c>
      <c r="P55" s="250">
        <f t="shared" si="11"/>
        <v>450</v>
      </c>
    </row>
    <row r="56" spans="1:16" s="56" customFormat="1">
      <c r="A56" s="261">
        <v>37</v>
      </c>
      <c r="B56" s="583"/>
      <c r="C56" s="801" t="s">
        <v>1737</v>
      </c>
      <c r="D56" s="797" t="s">
        <v>1738</v>
      </c>
      <c r="E56" s="802">
        <v>1</v>
      </c>
      <c r="F56" s="255"/>
      <c r="G56" s="637"/>
      <c r="H56" s="640">
        <f t="shared" si="33"/>
        <v>0</v>
      </c>
      <c r="I56" s="709"/>
      <c r="J56" s="255">
        <v>35</v>
      </c>
      <c r="K56" s="222">
        <f t="shared" si="6"/>
        <v>35</v>
      </c>
      <c r="L56" s="222">
        <f t="shared" si="7"/>
        <v>0</v>
      </c>
      <c r="M56" s="222">
        <f t="shared" si="8"/>
        <v>0</v>
      </c>
      <c r="N56" s="222">
        <f t="shared" si="9"/>
        <v>0</v>
      </c>
      <c r="O56" s="222">
        <f t="shared" si="10"/>
        <v>35</v>
      </c>
      <c r="P56" s="250">
        <f t="shared" si="11"/>
        <v>35</v>
      </c>
    </row>
    <row r="57" spans="1:16" s="56" customFormat="1" ht="24.9">
      <c r="A57" s="261">
        <v>38</v>
      </c>
      <c r="B57" s="583"/>
      <c r="C57" s="779" t="s">
        <v>1739</v>
      </c>
      <c r="D57" s="803" t="s">
        <v>1738</v>
      </c>
      <c r="E57" s="772">
        <v>1</v>
      </c>
      <c r="F57" s="267"/>
      <c r="G57" s="266"/>
      <c r="H57" s="222"/>
      <c r="I57" s="222"/>
      <c r="J57" s="268">
        <v>30</v>
      </c>
      <c r="K57" s="222">
        <f t="shared" si="6"/>
        <v>30</v>
      </c>
      <c r="L57" s="222">
        <f t="shared" si="7"/>
        <v>0</v>
      </c>
      <c r="M57" s="222">
        <f t="shared" si="8"/>
        <v>0</v>
      </c>
      <c r="N57" s="222">
        <f t="shared" si="9"/>
        <v>0</v>
      </c>
      <c r="O57" s="222">
        <f t="shared" si="10"/>
        <v>30</v>
      </c>
      <c r="P57" s="250">
        <f t="shared" si="11"/>
        <v>30</v>
      </c>
    </row>
    <row r="58" spans="1:16" s="56" customFormat="1">
      <c r="A58" s="261">
        <v>39</v>
      </c>
      <c r="B58" s="583"/>
      <c r="C58" s="801" t="s">
        <v>1740</v>
      </c>
      <c r="D58" s="797" t="s">
        <v>1738</v>
      </c>
      <c r="E58" s="802">
        <v>1</v>
      </c>
      <c r="F58" s="269"/>
      <c r="G58" s="266"/>
      <c r="H58" s="222"/>
      <c r="I58" s="267"/>
      <c r="J58" s="268">
        <v>17</v>
      </c>
      <c r="K58" s="222">
        <f t="shared" si="6"/>
        <v>17</v>
      </c>
      <c r="L58" s="222">
        <f t="shared" si="7"/>
        <v>0</v>
      </c>
      <c r="M58" s="222">
        <f t="shared" si="8"/>
        <v>0</v>
      </c>
      <c r="N58" s="222">
        <f t="shared" si="9"/>
        <v>0</v>
      </c>
      <c r="O58" s="222">
        <f t="shared" si="10"/>
        <v>17</v>
      </c>
      <c r="P58" s="250">
        <f t="shared" si="11"/>
        <v>17</v>
      </c>
    </row>
    <row r="59" spans="1:16">
      <c r="A59" s="225"/>
      <c r="B59" s="302"/>
      <c r="C59" s="227"/>
      <c r="D59" s="228"/>
      <c r="E59" s="229"/>
      <c r="F59" s="229">
        <v>0</v>
      </c>
      <c r="G59" s="229">
        <v>0</v>
      </c>
      <c r="H59" s="230"/>
      <c r="I59" s="230"/>
      <c r="J59" s="229"/>
      <c r="K59" s="229"/>
      <c r="L59" s="229"/>
      <c r="M59" s="229"/>
      <c r="N59" s="229"/>
      <c r="O59" s="229"/>
      <c r="P59" s="243"/>
    </row>
    <row r="60" spans="1:16" ht="15.05" customHeight="1">
      <c r="A60" s="206"/>
      <c r="B60" s="206"/>
      <c r="C60" s="951" t="s">
        <v>99</v>
      </c>
      <c r="D60" s="952"/>
      <c r="E60" s="952"/>
      <c r="F60" s="952"/>
      <c r="G60" s="952"/>
      <c r="H60" s="952"/>
      <c r="I60" s="952"/>
      <c r="J60" s="952"/>
      <c r="K60" s="952"/>
      <c r="L60" s="208">
        <f>SUM(L13:L59)</f>
        <v>1128.8</v>
      </c>
      <c r="M60" s="208">
        <f>SUM(M13:M59)</f>
        <v>11288</v>
      </c>
      <c r="N60" s="208">
        <f>SUM(N13:N59)</f>
        <v>9041.58</v>
      </c>
      <c r="O60" s="208">
        <f>SUM(O13:O59)</f>
        <v>1960.8</v>
      </c>
      <c r="P60" s="208">
        <f>SUM(P13:P59)</f>
        <v>22290.380000000005</v>
      </c>
    </row>
    <row r="61" spans="1:16" s="125" customFormat="1" collapsed="1">
      <c r="I61" s="146"/>
    </row>
    <row r="62" spans="1:16" s="122" customFormat="1" ht="12.8" customHeight="1">
      <c r="B62" s="147" t="s">
        <v>54</v>
      </c>
    </row>
    <row r="63" spans="1:16" s="122" customFormat="1" ht="45" customHeight="1">
      <c r="A63" s="926" t="str">
        <f>'3,1'!A53:H53</f>
        <v xml:space="preserve"> Būvuzņēmējam jādod pilna apjoma tendera cenu piedāvājums, ieskaitot palīgdarbus  un materiālus, kas nav uzrādīti tāmē, apjomu sarakstā un projektā, bet ir nepieciešami projektētā būvobjekta izbūvei un nodošanai ekspluatācijā.</v>
      </c>
      <c r="B63" s="926"/>
      <c r="C63" s="926"/>
      <c r="D63" s="926"/>
      <c r="E63" s="926"/>
      <c r="F63" s="926"/>
      <c r="G63" s="926"/>
      <c r="H63" s="926"/>
      <c r="I63" s="926"/>
      <c r="J63" s="926"/>
      <c r="K63" s="926"/>
      <c r="L63" s="926"/>
      <c r="M63" s="926"/>
      <c r="N63" s="926"/>
      <c r="O63" s="926"/>
      <c r="P63" s="926"/>
    </row>
    <row r="64" spans="1:16" s="122" customFormat="1" ht="71.2" customHeight="1">
      <c r="A64" s="925">
        <f>'3,1'!$A$54</f>
        <v>0</v>
      </c>
      <c r="B64" s="925"/>
      <c r="C64" s="925"/>
      <c r="D64" s="925"/>
      <c r="E64" s="925"/>
      <c r="F64" s="925"/>
      <c r="G64" s="925"/>
      <c r="H64" s="925"/>
      <c r="I64" s="925"/>
      <c r="J64" s="925"/>
      <c r="K64" s="925"/>
      <c r="L64" s="925"/>
      <c r="M64" s="925"/>
      <c r="N64" s="925"/>
      <c r="O64" s="925"/>
      <c r="P64" s="925"/>
    </row>
    <row r="65" spans="2:14" s="122" customFormat="1" ht="12.8" customHeight="1">
      <c r="B65" s="148"/>
    </row>
    <row r="66" spans="2:14" s="122" customFormat="1" ht="12.8" customHeight="1">
      <c r="B66" s="148"/>
    </row>
    <row r="67" spans="2:14" s="125" customFormat="1">
      <c r="B67" s="125" t="str">
        <f>'3,3'!B52</f>
        <v>Sastādīja:</v>
      </c>
      <c r="L67" s="125" t="str">
        <f>'3,3'!M52</f>
        <v>Pārbaudīja:</v>
      </c>
    </row>
    <row r="68" spans="2:14" s="125" customFormat="1">
      <c r="C68" s="164" t="str">
        <f>'3,3'!C53</f>
        <v>Arnis Gailītis</v>
      </c>
      <c r="L68" s="164"/>
      <c r="M68" s="922" t="str">
        <f>'3,3'!N53</f>
        <v>Dzintra Cīrule</v>
      </c>
      <c r="N68" s="922"/>
    </row>
    <row r="69" spans="2:14" s="125" customFormat="1">
      <c r="C69" s="165" t="str">
        <f>'3,3'!C54</f>
        <v>Sertifikāta Nr.20-5643</v>
      </c>
      <c r="L69" s="165"/>
      <c r="M69" s="923" t="str">
        <f>'3,3'!N54</f>
        <v>Sertifikāta Nr.10-0363</v>
      </c>
      <c r="N69" s="923"/>
    </row>
    <row r="70" spans="2:14" s="125" customFormat="1" collapsed="1">
      <c r="B70" s="146"/>
      <c r="F70" s="146"/>
      <c r="G70" s="146"/>
    </row>
  </sheetData>
  <mergeCells count="17">
    <mergeCell ref="M69:N69"/>
    <mergeCell ref="F11:K11"/>
    <mergeCell ref="L11:P11"/>
    <mergeCell ref="C60:K60"/>
    <mergeCell ref="M68:N68"/>
    <mergeCell ref="A64:P64"/>
    <mergeCell ref="A63:P63"/>
    <mergeCell ref="A11:A12"/>
    <mergeCell ref="B11:B12"/>
    <mergeCell ref="D11:D12"/>
    <mergeCell ref="E11:E12"/>
    <mergeCell ref="C11:C12"/>
    <mergeCell ref="A2:P2"/>
    <mergeCell ref="D3:P3"/>
    <mergeCell ref="D4:P4"/>
    <mergeCell ref="D5:P5"/>
    <mergeCell ref="L9:O9"/>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82"/>
  <sheetViews>
    <sheetView showZeros="0" view="pageBreakPreview" zoomScaleNormal="100" zoomScaleSheetLayoutView="100" workbookViewId="0">
      <selection activeCell="C13" sqref="C13"/>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3.625" style="19" customWidth="1"/>
    <col min="17" max="16384" width="9.125" style="19"/>
  </cols>
  <sheetData>
    <row r="1" spans="1:16" s="24" customFormat="1">
      <c r="E1" s="21"/>
      <c r="F1" s="21"/>
      <c r="G1" s="181" t="s">
        <v>92</v>
      </c>
      <c r="H1" s="110" t="s">
        <v>1750</v>
      </c>
      <c r="I1" s="53"/>
    </row>
    <row r="2" spans="1:16" s="24" customFormat="1">
      <c r="A2" s="919" t="str">
        <f>C13</f>
        <v>Ārējie elektrotīkli-KTA</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P72</f>
        <v>97462.35</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40" t="s">
        <v>97</v>
      </c>
      <c r="D11" s="931" t="s">
        <v>22</v>
      </c>
      <c r="E11" s="927" t="s">
        <v>23</v>
      </c>
      <c r="F11" s="924" t="s">
        <v>24</v>
      </c>
      <c r="G11" s="924"/>
      <c r="H11" s="924"/>
      <c r="I11" s="924"/>
      <c r="J11" s="924"/>
      <c r="K11" s="924"/>
      <c r="L11" s="924" t="s">
        <v>25</v>
      </c>
      <c r="M11" s="924"/>
      <c r="N11" s="924"/>
      <c r="O11" s="924"/>
      <c r="P11" s="924"/>
    </row>
    <row r="12" spans="1:16" ht="62.85">
      <c r="A12" s="927"/>
      <c r="B12" s="935"/>
      <c r="C12" s="947"/>
      <c r="D12" s="931"/>
      <c r="E12" s="927"/>
      <c r="F12" s="814" t="s">
        <v>26</v>
      </c>
      <c r="G12" s="814" t="s">
        <v>58</v>
      </c>
      <c r="H12" s="814" t="s">
        <v>59</v>
      </c>
      <c r="I12" s="814" t="s">
        <v>95</v>
      </c>
      <c r="J12" s="814" t="s">
        <v>60</v>
      </c>
      <c r="K12" s="814" t="s">
        <v>61</v>
      </c>
      <c r="L12" s="814" t="s">
        <v>18</v>
      </c>
      <c r="M12" s="814" t="s">
        <v>59</v>
      </c>
      <c r="N12" s="814" t="s">
        <v>95</v>
      </c>
      <c r="O12" s="814" t="s">
        <v>60</v>
      </c>
      <c r="P12" s="814" t="s">
        <v>62</v>
      </c>
    </row>
    <row r="13" spans="1:16" ht="32.75" customHeight="1">
      <c r="A13" s="827"/>
      <c r="B13" s="828">
        <v>0</v>
      </c>
      <c r="C13" s="829" t="str">
        <f>kops3!C27</f>
        <v>Ārējie elektrotīkli-KTA</v>
      </c>
      <c r="D13" s="830"/>
      <c r="E13" s="831"/>
      <c r="F13" s="832">
        <v>0</v>
      </c>
      <c r="G13" s="832">
        <v>0</v>
      </c>
      <c r="H13" s="833">
        <v>0</v>
      </c>
      <c r="I13" s="834">
        <v>0</v>
      </c>
      <c r="J13" s="834">
        <v>0</v>
      </c>
      <c r="K13" s="834">
        <f t="shared" ref="K13" si="0">SUM(H13:J13)</f>
        <v>0</v>
      </c>
      <c r="L13" s="835">
        <f t="shared" ref="L13" si="1">ROUND(F13*E13,2)</f>
        <v>0</v>
      </c>
      <c r="M13" s="834">
        <f t="shared" ref="M13" si="2">ROUND(H13*E13,2)</f>
        <v>0</v>
      </c>
      <c r="N13" s="834">
        <f t="shared" ref="N13" si="3">ROUND(I13*E13,2)</f>
        <v>0</v>
      </c>
      <c r="O13" s="834">
        <f t="shared" ref="O13" si="4">ROUND(J13*E13,2)</f>
        <v>0</v>
      </c>
      <c r="P13" s="836">
        <f t="shared" ref="P13" si="5">SUM(M13:O13)</f>
        <v>0</v>
      </c>
    </row>
    <row r="14" spans="1:16" s="56" customFormat="1" ht="15.05" customHeight="1">
      <c r="A14" s="840"/>
      <c r="B14" s="841"/>
      <c r="C14" s="842" t="s">
        <v>1751</v>
      </c>
      <c r="D14" s="842"/>
      <c r="E14" s="842"/>
      <c r="F14" s="837"/>
      <c r="G14" s="837"/>
      <c r="H14" s="837"/>
      <c r="I14" s="837"/>
      <c r="J14" s="837"/>
      <c r="K14" s="838"/>
      <c r="L14" s="838"/>
      <c r="M14" s="838"/>
      <c r="N14" s="838"/>
      <c r="O14" s="838"/>
      <c r="P14" s="839"/>
    </row>
    <row r="15" spans="1:16" s="56" customFormat="1" ht="15.05">
      <c r="A15" s="840"/>
      <c r="B15" s="841"/>
      <c r="C15" s="843" t="s">
        <v>970</v>
      </c>
      <c r="D15" s="843"/>
      <c r="E15" s="843"/>
      <c r="F15" s="837"/>
      <c r="G15" s="837"/>
      <c r="H15" s="837"/>
      <c r="I15" s="837"/>
      <c r="J15" s="837"/>
      <c r="K15" s="838"/>
      <c r="L15" s="838"/>
      <c r="M15" s="838"/>
      <c r="N15" s="838"/>
      <c r="O15" s="838"/>
      <c r="P15" s="839"/>
    </row>
    <row r="16" spans="1:16" s="56" customFormat="1" ht="30.15">
      <c r="A16" s="844" t="s">
        <v>1804</v>
      </c>
      <c r="B16" s="845"/>
      <c r="C16" s="846" t="s">
        <v>1752</v>
      </c>
      <c r="D16" s="847" t="s">
        <v>118</v>
      </c>
      <c r="E16" s="847">
        <v>6</v>
      </c>
      <c r="F16" s="848">
        <v>0.9</v>
      </c>
      <c r="G16" s="849">
        <v>10</v>
      </c>
      <c r="H16" s="850">
        <f t="shared" ref="H16:H23" si="6">ROUND(F16*G16,2)</f>
        <v>9</v>
      </c>
      <c r="I16" s="851"/>
      <c r="J16" s="848">
        <v>3</v>
      </c>
      <c r="K16" s="852">
        <f t="shared" ref="K16:K70" si="7">SUM(H16:J16)</f>
        <v>12</v>
      </c>
      <c r="L16" s="852">
        <f t="shared" ref="L16:L70" si="8">ROUND(F16*E16,2)</f>
        <v>5.4</v>
      </c>
      <c r="M16" s="852">
        <f t="shared" ref="M16:M70" si="9">ROUND(H16*E16,2)</f>
        <v>54</v>
      </c>
      <c r="N16" s="852">
        <f t="shared" ref="N16:N70" si="10">ROUND(I16*E16,2)</f>
        <v>0</v>
      </c>
      <c r="O16" s="852">
        <f t="shared" ref="O16:O70" si="11">ROUND(J16*E16,2)</f>
        <v>18</v>
      </c>
      <c r="P16" s="853">
        <f t="shared" ref="P16:P70" si="12">SUM(M16:O16)</f>
        <v>72</v>
      </c>
    </row>
    <row r="17" spans="1:16" s="56" customFormat="1" ht="15.05">
      <c r="A17" s="844" t="s">
        <v>1805</v>
      </c>
      <c r="B17" s="845"/>
      <c r="C17" s="846" t="s">
        <v>1753</v>
      </c>
      <c r="D17" s="847" t="s">
        <v>118</v>
      </c>
      <c r="E17" s="847">
        <v>4</v>
      </c>
      <c r="F17" s="848">
        <v>0.9</v>
      </c>
      <c r="G17" s="849">
        <v>10</v>
      </c>
      <c r="H17" s="850">
        <f t="shared" si="6"/>
        <v>9</v>
      </c>
      <c r="I17" s="851"/>
      <c r="J17" s="848">
        <v>3</v>
      </c>
      <c r="K17" s="852">
        <f t="shared" si="7"/>
        <v>12</v>
      </c>
      <c r="L17" s="852">
        <f t="shared" si="8"/>
        <v>3.6</v>
      </c>
      <c r="M17" s="852">
        <f t="shared" si="9"/>
        <v>36</v>
      </c>
      <c r="N17" s="852">
        <f t="shared" si="10"/>
        <v>0</v>
      </c>
      <c r="O17" s="852">
        <f t="shared" si="11"/>
        <v>12</v>
      </c>
      <c r="P17" s="853">
        <f t="shared" si="12"/>
        <v>48</v>
      </c>
    </row>
    <row r="18" spans="1:16" s="56" customFormat="1" ht="24.9">
      <c r="A18" s="844" t="s">
        <v>1806</v>
      </c>
      <c r="B18" s="845"/>
      <c r="C18" s="854" t="s">
        <v>1754</v>
      </c>
      <c r="D18" s="855" t="s">
        <v>111</v>
      </c>
      <c r="E18" s="847">
        <v>8</v>
      </c>
      <c r="F18" s="848">
        <v>0.8</v>
      </c>
      <c r="G18" s="849">
        <v>10</v>
      </c>
      <c r="H18" s="850">
        <f t="shared" si="6"/>
        <v>8</v>
      </c>
      <c r="I18" s="851"/>
      <c r="J18" s="848">
        <v>3.5</v>
      </c>
      <c r="K18" s="852">
        <f t="shared" si="7"/>
        <v>11.5</v>
      </c>
      <c r="L18" s="852">
        <f t="shared" si="8"/>
        <v>6.4</v>
      </c>
      <c r="M18" s="852">
        <f t="shared" si="9"/>
        <v>64</v>
      </c>
      <c r="N18" s="852">
        <f t="shared" si="10"/>
        <v>0</v>
      </c>
      <c r="O18" s="852">
        <f t="shared" si="11"/>
        <v>28</v>
      </c>
      <c r="P18" s="853">
        <f t="shared" si="12"/>
        <v>92</v>
      </c>
    </row>
    <row r="19" spans="1:16" s="56" customFormat="1" ht="24.9">
      <c r="A19" s="844" t="s">
        <v>1807</v>
      </c>
      <c r="B19" s="845"/>
      <c r="C19" s="854" t="s">
        <v>1755</v>
      </c>
      <c r="D19" s="855" t="s">
        <v>111</v>
      </c>
      <c r="E19" s="847">
        <v>13</v>
      </c>
      <c r="F19" s="848">
        <v>1.2</v>
      </c>
      <c r="G19" s="849">
        <v>10</v>
      </c>
      <c r="H19" s="850">
        <f t="shared" si="6"/>
        <v>12</v>
      </c>
      <c r="I19" s="851"/>
      <c r="J19" s="848">
        <v>3.5</v>
      </c>
      <c r="K19" s="852">
        <f t="shared" si="7"/>
        <v>15.5</v>
      </c>
      <c r="L19" s="852">
        <f t="shared" si="8"/>
        <v>15.6</v>
      </c>
      <c r="M19" s="852">
        <f t="shared" si="9"/>
        <v>156</v>
      </c>
      <c r="N19" s="852">
        <f t="shared" si="10"/>
        <v>0</v>
      </c>
      <c r="O19" s="852">
        <f t="shared" si="11"/>
        <v>45.5</v>
      </c>
      <c r="P19" s="853">
        <f t="shared" si="12"/>
        <v>201.5</v>
      </c>
    </row>
    <row r="20" spans="1:16" s="56" customFormat="1" ht="30.15">
      <c r="A20" s="844" t="s">
        <v>1808</v>
      </c>
      <c r="B20" s="845"/>
      <c r="C20" s="846" t="s">
        <v>1756</v>
      </c>
      <c r="D20" s="847" t="s">
        <v>111</v>
      </c>
      <c r="E20" s="847">
        <v>68</v>
      </c>
      <c r="F20" s="848">
        <v>0.18</v>
      </c>
      <c r="G20" s="849">
        <v>10</v>
      </c>
      <c r="H20" s="850">
        <f t="shared" si="6"/>
        <v>1.8</v>
      </c>
      <c r="I20" s="851"/>
      <c r="J20" s="848">
        <v>0.12</v>
      </c>
      <c r="K20" s="852">
        <f t="shared" si="7"/>
        <v>1.92</v>
      </c>
      <c r="L20" s="852">
        <f t="shared" si="8"/>
        <v>12.24</v>
      </c>
      <c r="M20" s="852">
        <f t="shared" si="9"/>
        <v>122.4</v>
      </c>
      <c r="N20" s="852">
        <f t="shared" si="10"/>
        <v>0</v>
      </c>
      <c r="O20" s="852">
        <f t="shared" si="11"/>
        <v>8.16</v>
      </c>
      <c r="P20" s="853">
        <f t="shared" si="12"/>
        <v>130.56</v>
      </c>
    </row>
    <row r="21" spans="1:16" s="56" customFormat="1" ht="24.9">
      <c r="A21" s="844" t="s">
        <v>1809</v>
      </c>
      <c r="B21" s="845"/>
      <c r="C21" s="854" t="s">
        <v>1757</v>
      </c>
      <c r="D21" s="855" t="s">
        <v>111</v>
      </c>
      <c r="E21" s="847">
        <v>116</v>
      </c>
      <c r="F21" s="848">
        <v>0.18</v>
      </c>
      <c r="G21" s="849">
        <v>10</v>
      </c>
      <c r="H21" s="850">
        <f t="shared" si="6"/>
        <v>1.8</v>
      </c>
      <c r="I21" s="851"/>
      <c r="J21" s="848">
        <v>0.12</v>
      </c>
      <c r="K21" s="852">
        <f t="shared" si="7"/>
        <v>1.92</v>
      </c>
      <c r="L21" s="852">
        <f t="shared" si="8"/>
        <v>20.88</v>
      </c>
      <c r="M21" s="852">
        <f t="shared" si="9"/>
        <v>208.8</v>
      </c>
      <c r="N21" s="852">
        <f t="shared" si="10"/>
        <v>0</v>
      </c>
      <c r="O21" s="852">
        <f t="shared" si="11"/>
        <v>13.92</v>
      </c>
      <c r="P21" s="853">
        <f t="shared" si="12"/>
        <v>222.72</v>
      </c>
    </row>
    <row r="22" spans="1:16" s="56" customFormat="1" ht="24.9">
      <c r="A22" s="844" t="s">
        <v>1810</v>
      </c>
      <c r="B22" s="845"/>
      <c r="C22" s="854" t="s">
        <v>1758</v>
      </c>
      <c r="D22" s="855" t="s">
        <v>111</v>
      </c>
      <c r="E22" s="847">
        <v>36</v>
      </c>
      <c r="F22" s="848">
        <v>0.18</v>
      </c>
      <c r="G22" s="849">
        <v>10</v>
      </c>
      <c r="H22" s="850">
        <f t="shared" si="6"/>
        <v>1.8</v>
      </c>
      <c r="I22" s="851"/>
      <c r="J22" s="848">
        <v>0.12</v>
      </c>
      <c r="K22" s="852">
        <f t="shared" si="7"/>
        <v>1.92</v>
      </c>
      <c r="L22" s="852">
        <f t="shared" si="8"/>
        <v>6.48</v>
      </c>
      <c r="M22" s="852">
        <f t="shared" si="9"/>
        <v>64.8</v>
      </c>
      <c r="N22" s="852">
        <f t="shared" si="10"/>
        <v>0</v>
      </c>
      <c r="O22" s="852">
        <f t="shared" si="11"/>
        <v>4.32</v>
      </c>
      <c r="P22" s="853">
        <f t="shared" si="12"/>
        <v>69.12</v>
      </c>
    </row>
    <row r="23" spans="1:16" s="56" customFormat="1" ht="24.9">
      <c r="A23" s="844" t="s">
        <v>1811</v>
      </c>
      <c r="B23" s="845"/>
      <c r="C23" s="854" t="s">
        <v>1759</v>
      </c>
      <c r="D23" s="855" t="s">
        <v>111</v>
      </c>
      <c r="E23" s="847">
        <v>6</v>
      </c>
      <c r="F23" s="848">
        <v>0.2</v>
      </c>
      <c r="G23" s="849">
        <v>6</v>
      </c>
      <c r="H23" s="850">
        <f t="shared" si="6"/>
        <v>1.2</v>
      </c>
      <c r="I23" s="856"/>
      <c r="J23" s="857">
        <v>0.15</v>
      </c>
      <c r="K23" s="852">
        <f t="shared" si="7"/>
        <v>1.3499999999999999</v>
      </c>
      <c r="L23" s="852">
        <f t="shared" si="8"/>
        <v>1.2</v>
      </c>
      <c r="M23" s="852">
        <f t="shared" si="9"/>
        <v>7.2</v>
      </c>
      <c r="N23" s="852">
        <f t="shared" si="10"/>
        <v>0</v>
      </c>
      <c r="O23" s="852">
        <f t="shared" si="11"/>
        <v>0.9</v>
      </c>
      <c r="P23" s="853">
        <f t="shared" si="12"/>
        <v>8.1</v>
      </c>
    </row>
    <row r="24" spans="1:16" s="56" customFormat="1" ht="30.15">
      <c r="A24" s="844" t="s">
        <v>1812</v>
      </c>
      <c r="B24" s="845"/>
      <c r="C24" s="846" t="s">
        <v>1760</v>
      </c>
      <c r="D24" s="847" t="s">
        <v>111</v>
      </c>
      <c r="E24" s="847">
        <v>68</v>
      </c>
      <c r="F24" s="848">
        <v>0.14000000000000001</v>
      </c>
      <c r="G24" s="849">
        <v>6</v>
      </c>
      <c r="H24" s="850">
        <f t="shared" ref="H24" si="13">ROUND(F24*G24,2)</f>
        <v>0.84</v>
      </c>
      <c r="I24" s="856"/>
      <c r="J24" s="857">
        <v>0.15</v>
      </c>
      <c r="K24" s="852">
        <f t="shared" si="7"/>
        <v>0.99</v>
      </c>
      <c r="L24" s="852">
        <f t="shared" si="8"/>
        <v>9.52</v>
      </c>
      <c r="M24" s="852">
        <f t="shared" si="9"/>
        <v>57.12</v>
      </c>
      <c r="N24" s="852">
        <f t="shared" si="10"/>
        <v>0</v>
      </c>
      <c r="O24" s="852">
        <f t="shared" si="11"/>
        <v>10.199999999999999</v>
      </c>
      <c r="P24" s="853">
        <f t="shared" si="12"/>
        <v>67.319999999999993</v>
      </c>
    </row>
    <row r="25" spans="1:16" s="56" customFormat="1" ht="30.15">
      <c r="A25" s="844" t="s">
        <v>1813</v>
      </c>
      <c r="B25" s="845"/>
      <c r="C25" s="846" t="s">
        <v>1761</v>
      </c>
      <c r="D25" s="847" t="s">
        <v>111</v>
      </c>
      <c r="E25" s="847">
        <v>64</v>
      </c>
      <c r="F25" s="848">
        <v>0.18</v>
      </c>
      <c r="G25" s="849">
        <v>6</v>
      </c>
      <c r="H25" s="850">
        <f t="shared" ref="H25" si="14">ROUND(F25*G25,2)</f>
        <v>1.08</v>
      </c>
      <c r="I25" s="856"/>
      <c r="J25" s="857">
        <v>0.15</v>
      </c>
      <c r="K25" s="852">
        <f t="shared" si="7"/>
        <v>1.23</v>
      </c>
      <c r="L25" s="852">
        <f t="shared" si="8"/>
        <v>11.52</v>
      </c>
      <c r="M25" s="852">
        <f t="shared" si="9"/>
        <v>69.12</v>
      </c>
      <c r="N25" s="852">
        <f t="shared" si="10"/>
        <v>0</v>
      </c>
      <c r="O25" s="852">
        <f t="shared" si="11"/>
        <v>9.6</v>
      </c>
      <c r="P25" s="853">
        <f t="shared" si="12"/>
        <v>78.72</v>
      </c>
    </row>
    <row r="26" spans="1:16" s="56" customFormat="1" ht="30.15">
      <c r="A26" s="844" t="s">
        <v>1814</v>
      </c>
      <c r="B26" s="845"/>
      <c r="C26" s="846" t="s">
        <v>1762</v>
      </c>
      <c r="D26" s="847" t="s">
        <v>118</v>
      </c>
      <c r="E26" s="847">
        <v>4</v>
      </c>
      <c r="F26" s="848">
        <v>1.8</v>
      </c>
      <c r="G26" s="849">
        <v>6</v>
      </c>
      <c r="H26" s="850">
        <f t="shared" ref="H26:H27" si="15">ROUND(F26*G26,2)</f>
        <v>10.8</v>
      </c>
      <c r="I26" s="856"/>
      <c r="J26" s="857">
        <v>0.8</v>
      </c>
      <c r="K26" s="852">
        <f t="shared" si="7"/>
        <v>11.600000000000001</v>
      </c>
      <c r="L26" s="852">
        <f t="shared" si="8"/>
        <v>7.2</v>
      </c>
      <c r="M26" s="852">
        <f t="shared" si="9"/>
        <v>43.2</v>
      </c>
      <c r="N26" s="852">
        <f t="shared" si="10"/>
        <v>0</v>
      </c>
      <c r="O26" s="852">
        <f t="shared" si="11"/>
        <v>3.2</v>
      </c>
      <c r="P26" s="853">
        <f t="shared" si="12"/>
        <v>46.400000000000006</v>
      </c>
    </row>
    <row r="27" spans="1:16" s="56" customFormat="1" ht="24.9">
      <c r="A27" s="844" t="s">
        <v>1815</v>
      </c>
      <c r="B27" s="845"/>
      <c r="C27" s="854" t="s">
        <v>1763</v>
      </c>
      <c r="D27" s="847" t="s">
        <v>118</v>
      </c>
      <c r="E27" s="847">
        <v>4</v>
      </c>
      <c r="F27" s="848">
        <v>1.8</v>
      </c>
      <c r="G27" s="849">
        <v>6</v>
      </c>
      <c r="H27" s="850">
        <f t="shared" si="15"/>
        <v>10.8</v>
      </c>
      <c r="I27" s="856"/>
      <c r="J27" s="857">
        <v>0.8</v>
      </c>
      <c r="K27" s="852">
        <f t="shared" si="7"/>
        <v>11.600000000000001</v>
      </c>
      <c r="L27" s="852">
        <f t="shared" si="8"/>
        <v>7.2</v>
      </c>
      <c r="M27" s="852">
        <f t="shared" si="9"/>
        <v>43.2</v>
      </c>
      <c r="N27" s="852">
        <f t="shared" si="10"/>
        <v>0</v>
      </c>
      <c r="O27" s="852">
        <f t="shared" si="11"/>
        <v>3.2</v>
      </c>
      <c r="P27" s="853">
        <f t="shared" si="12"/>
        <v>46.400000000000006</v>
      </c>
    </row>
    <row r="28" spans="1:16" s="56" customFormat="1" ht="15.05">
      <c r="A28" s="840"/>
      <c r="B28" s="841"/>
      <c r="C28" s="843" t="s">
        <v>938</v>
      </c>
      <c r="D28" s="843"/>
      <c r="E28" s="843"/>
      <c r="F28" s="837"/>
      <c r="G28" s="837"/>
      <c r="H28" s="837"/>
      <c r="I28" s="837"/>
      <c r="J28" s="837"/>
      <c r="K28" s="852">
        <f t="shared" si="7"/>
        <v>0</v>
      </c>
      <c r="L28" s="852">
        <f t="shared" si="8"/>
        <v>0</v>
      </c>
      <c r="M28" s="852">
        <f t="shared" si="9"/>
        <v>0</v>
      </c>
      <c r="N28" s="852">
        <f t="shared" si="10"/>
        <v>0</v>
      </c>
      <c r="O28" s="852">
        <f t="shared" si="11"/>
        <v>0</v>
      </c>
      <c r="P28" s="853">
        <f t="shared" si="12"/>
        <v>0</v>
      </c>
    </row>
    <row r="29" spans="1:16" s="56" customFormat="1" ht="15.05">
      <c r="A29" s="858" t="s">
        <v>1816</v>
      </c>
      <c r="B29" s="859"/>
      <c r="C29" s="860" t="s">
        <v>1764</v>
      </c>
      <c r="D29" s="861" t="s">
        <v>111</v>
      </c>
      <c r="E29" s="861">
        <v>158</v>
      </c>
      <c r="F29" s="837"/>
      <c r="G29" s="837"/>
      <c r="H29" s="837"/>
      <c r="I29" s="837">
        <v>11.2</v>
      </c>
      <c r="J29" s="837"/>
      <c r="K29" s="852">
        <f t="shared" si="7"/>
        <v>11.2</v>
      </c>
      <c r="L29" s="852">
        <f t="shared" si="8"/>
        <v>0</v>
      </c>
      <c r="M29" s="852">
        <f t="shared" si="9"/>
        <v>0</v>
      </c>
      <c r="N29" s="852">
        <f t="shared" si="10"/>
        <v>1769.6</v>
      </c>
      <c r="O29" s="852">
        <f t="shared" si="11"/>
        <v>0</v>
      </c>
      <c r="P29" s="853">
        <f t="shared" si="12"/>
        <v>1769.6</v>
      </c>
    </row>
    <row r="30" spans="1:16" s="56" customFormat="1" ht="30.15">
      <c r="A30" s="858" t="s">
        <v>1817</v>
      </c>
      <c r="B30" s="859"/>
      <c r="C30" s="860" t="s">
        <v>1765</v>
      </c>
      <c r="D30" s="861" t="s">
        <v>111</v>
      </c>
      <c r="E30" s="861">
        <v>50</v>
      </c>
      <c r="F30" s="837"/>
      <c r="G30" s="837"/>
      <c r="H30" s="837"/>
      <c r="I30" s="837">
        <v>0.8</v>
      </c>
      <c r="J30" s="837"/>
      <c r="K30" s="852">
        <f t="shared" si="7"/>
        <v>0.8</v>
      </c>
      <c r="L30" s="852">
        <f t="shared" si="8"/>
        <v>0</v>
      </c>
      <c r="M30" s="852">
        <f t="shared" si="9"/>
        <v>0</v>
      </c>
      <c r="N30" s="852">
        <f t="shared" si="10"/>
        <v>40</v>
      </c>
      <c r="O30" s="852">
        <f t="shared" si="11"/>
        <v>0</v>
      </c>
      <c r="P30" s="853">
        <f t="shared" si="12"/>
        <v>40</v>
      </c>
    </row>
    <row r="31" spans="1:16" s="56" customFormat="1" ht="30.15">
      <c r="A31" s="858" t="s">
        <v>1818</v>
      </c>
      <c r="B31" s="859"/>
      <c r="C31" s="862" t="s">
        <v>1766</v>
      </c>
      <c r="D31" s="861" t="s">
        <v>136</v>
      </c>
      <c r="E31" s="861">
        <v>2</v>
      </c>
      <c r="F31" s="837"/>
      <c r="G31" s="837"/>
      <c r="H31" s="837"/>
      <c r="I31" s="837">
        <v>177</v>
      </c>
      <c r="J31" s="837"/>
      <c r="K31" s="852">
        <f t="shared" si="7"/>
        <v>177</v>
      </c>
      <c r="L31" s="852">
        <f t="shared" si="8"/>
        <v>0</v>
      </c>
      <c r="M31" s="852">
        <f t="shared" si="9"/>
        <v>0</v>
      </c>
      <c r="N31" s="852">
        <f t="shared" si="10"/>
        <v>354</v>
      </c>
      <c r="O31" s="852">
        <f t="shared" si="11"/>
        <v>0</v>
      </c>
      <c r="P31" s="853">
        <f t="shared" si="12"/>
        <v>354</v>
      </c>
    </row>
    <row r="32" spans="1:16" s="56" customFormat="1" ht="15.05">
      <c r="A32" s="858" t="s">
        <v>1819</v>
      </c>
      <c r="B32" s="859"/>
      <c r="C32" s="863" t="s">
        <v>1767</v>
      </c>
      <c r="D32" s="861" t="s">
        <v>111</v>
      </c>
      <c r="E32" s="861">
        <v>134</v>
      </c>
      <c r="F32" s="837"/>
      <c r="G32" s="837"/>
      <c r="H32" s="837"/>
      <c r="I32" s="837">
        <v>0.4</v>
      </c>
      <c r="J32" s="837"/>
      <c r="K32" s="852">
        <f t="shared" si="7"/>
        <v>0.4</v>
      </c>
      <c r="L32" s="852">
        <f t="shared" si="8"/>
        <v>0</v>
      </c>
      <c r="M32" s="852">
        <f t="shared" si="9"/>
        <v>0</v>
      </c>
      <c r="N32" s="852">
        <f t="shared" si="10"/>
        <v>53.6</v>
      </c>
      <c r="O32" s="852">
        <f t="shared" si="11"/>
        <v>0</v>
      </c>
      <c r="P32" s="853">
        <f t="shared" si="12"/>
        <v>53.6</v>
      </c>
    </row>
    <row r="33" spans="1:16" s="56" customFormat="1" ht="30.15">
      <c r="A33" s="858" t="s">
        <v>1820</v>
      </c>
      <c r="B33" s="859"/>
      <c r="C33" s="863" t="s">
        <v>1768</v>
      </c>
      <c r="D33" s="861" t="s">
        <v>111</v>
      </c>
      <c r="E33" s="861">
        <v>68</v>
      </c>
      <c r="F33" s="837"/>
      <c r="G33" s="837"/>
      <c r="H33" s="837"/>
      <c r="I33" s="837">
        <v>2.8</v>
      </c>
      <c r="J33" s="837"/>
      <c r="K33" s="852">
        <f t="shared" si="7"/>
        <v>2.8</v>
      </c>
      <c r="L33" s="852">
        <f t="shared" si="8"/>
        <v>0</v>
      </c>
      <c r="M33" s="852">
        <f t="shared" si="9"/>
        <v>0</v>
      </c>
      <c r="N33" s="852">
        <f t="shared" si="10"/>
        <v>190.4</v>
      </c>
      <c r="O33" s="852">
        <f t="shared" si="11"/>
        <v>0</v>
      </c>
      <c r="P33" s="853">
        <f t="shared" si="12"/>
        <v>190.4</v>
      </c>
    </row>
    <row r="34" spans="1:16" s="56" customFormat="1" ht="30.15">
      <c r="A34" s="858" t="s">
        <v>1821</v>
      </c>
      <c r="B34" s="859"/>
      <c r="C34" s="860" t="s">
        <v>1769</v>
      </c>
      <c r="D34" s="861" t="s">
        <v>136</v>
      </c>
      <c r="E34" s="861">
        <v>4</v>
      </c>
      <c r="F34" s="837"/>
      <c r="G34" s="837"/>
      <c r="H34" s="837"/>
      <c r="I34" s="837">
        <v>481</v>
      </c>
      <c r="J34" s="837"/>
      <c r="K34" s="852">
        <f t="shared" si="7"/>
        <v>481</v>
      </c>
      <c r="L34" s="852">
        <f t="shared" si="8"/>
        <v>0</v>
      </c>
      <c r="M34" s="852">
        <f t="shared" si="9"/>
        <v>0</v>
      </c>
      <c r="N34" s="852">
        <f t="shared" si="10"/>
        <v>1924</v>
      </c>
      <c r="O34" s="852">
        <f t="shared" si="11"/>
        <v>0</v>
      </c>
      <c r="P34" s="853">
        <f t="shared" si="12"/>
        <v>1924</v>
      </c>
    </row>
    <row r="35" spans="1:16" s="56" customFormat="1" ht="30.15">
      <c r="A35" s="858" t="s">
        <v>1822</v>
      </c>
      <c r="B35" s="859"/>
      <c r="C35" s="860" t="s">
        <v>1770</v>
      </c>
      <c r="D35" s="861" t="s">
        <v>111</v>
      </c>
      <c r="E35" s="861">
        <v>43</v>
      </c>
      <c r="F35" s="837"/>
      <c r="G35" s="837"/>
      <c r="H35" s="837"/>
      <c r="I35" s="837">
        <v>2.0299999999999998</v>
      </c>
      <c r="J35" s="837"/>
      <c r="K35" s="852">
        <f t="shared" si="7"/>
        <v>2.0299999999999998</v>
      </c>
      <c r="L35" s="852">
        <f t="shared" si="8"/>
        <v>0</v>
      </c>
      <c r="M35" s="852">
        <f t="shared" si="9"/>
        <v>0</v>
      </c>
      <c r="N35" s="852">
        <f t="shared" si="10"/>
        <v>87.29</v>
      </c>
      <c r="O35" s="852">
        <f t="shared" si="11"/>
        <v>0</v>
      </c>
      <c r="P35" s="853">
        <f t="shared" si="12"/>
        <v>87.29</v>
      </c>
    </row>
    <row r="36" spans="1:16" s="56" customFormat="1" ht="15.05">
      <c r="A36" s="858" t="s">
        <v>1823</v>
      </c>
      <c r="B36" s="859"/>
      <c r="C36" s="860" t="s">
        <v>1771</v>
      </c>
      <c r="D36" s="861" t="s">
        <v>111</v>
      </c>
      <c r="E36" s="861">
        <v>104</v>
      </c>
      <c r="F36" s="837"/>
      <c r="G36" s="837"/>
      <c r="H36" s="837"/>
      <c r="I36" s="837">
        <v>4.3</v>
      </c>
      <c r="J36" s="837"/>
      <c r="K36" s="852">
        <f t="shared" si="7"/>
        <v>4.3</v>
      </c>
      <c r="L36" s="852">
        <f t="shared" si="8"/>
        <v>0</v>
      </c>
      <c r="M36" s="852">
        <f t="shared" si="9"/>
        <v>0</v>
      </c>
      <c r="N36" s="852">
        <f t="shared" si="10"/>
        <v>447.2</v>
      </c>
      <c r="O36" s="852">
        <f t="shared" si="11"/>
        <v>0</v>
      </c>
      <c r="P36" s="853">
        <f t="shared" si="12"/>
        <v>447.2</v>
      </c>
    </row>
    <row r="37" spans="1:16" s="56" customFormat="1" ht="30.15">
      <c r="A37" s="858" t="s">
        <v>1824</v>
      </c>
      <c r="B37" s="859"/>
      <c r="C37" s="860" t="s">
        <v>1772</v>
      </c>
      <c r="D37" s="861" t="s">
        <v>111</v>
      </c>
      <c r="E37" s="861">
        <v>36</v>
      </c>
      <c r="F37" s="837"/>
      <c r="G37" s="837"/>
      <c r="H37" s="837"/>
      <c r="I37" s="837">
        <v>3.8</v>
      </c>
      <c r="J37" s="837"/>
      <c r="K37" s="852">
        <f t="shared" si="7"/>
        <v>3.8</v>
      </c>
      <c r="L37" s="852">
        <f t="shared" si="8"/>
        <v>0</v>
      </c>
      <c r="M37" s="852">
        <f t="shared" si="9"/>
        <v>0</v>
      </c>
      <c r="N37" s="852">
        <f t="shared" si="10"/>
        <v>136.80000000000001</v>
      </c>
      <c r="O37" s="852">
        <f t="shared" si="11"/>
        <v>0</v>
      </c>
      <c r="P37" s="853">
        <f t="shared" si="12"/>
        <v>136.80000000000001</v>
      </c>
    </row>
    <row r="38" spans="1:16" s="56" customFormat="1" ht="30.15">
      <c r="A38" s="858" t="s">
        <v>1825</v>
      </c>
      <c r="B38" s="859"/>
      <c r="C38" s="860" t="s">
        <v>1773</v>
      </c>
      <c r="D38" s="861" t="s">
        <v>111</v>
      </c>
      <c r="E38" s="861">
        <v>12</v>
      </c>
      <c r="F38" s="837"/>
      <c r="G38" s="837"/>
      <c r="H38" s="837"/>
      <c r="I38" s="837">
        <v>2.0299999999999998</v>
      </c>
      <c r="J38" s="837"/>
      <c r="K38" s="852">
        <f t="shared" si="7"/>
        <v>2.0299999999999998</v>
      </c>
      <c r="L38" s="852">
        <f t="shared" si="8"/>
        <v>0</v>
      </c>
      <c r="M38" s="852">
        <f t="shared" si="9"/>
        <v>0</v>
      </c>
      <c r="N38" s="852">
        <f t="shared" si="10"/>
        <v>24.36</v>
      </c>
      <c r="O38" s="852">
        <f t="shared" si="11"/>
        <v>0</v>
      </c>
      <c r="P38" s="853">
        <f t="shared" si="12"/>
        <v>24.36</v>
      </c>
    </row>
    <row r="39" spans="1:16" s="56" customFormat="1" ht="15.05" customHeight="1">
      <c r="A39" s="840"/>
      <c r="B39" s="841"/>
      <c r="C39" s="842" t="s">
        <v>1774</v>
      </c>
      <c r="D39" s="842"/>
      <c r="E39" s="842"/>
      <c r="F39" s="837"/>
      <c r="G39" s="837"/>
      <c r="H39" s="837"/>
      <c r="I39" s="837"/>
      <c r="J39" s="837"/>
      <c r="K39" s="852">
        <f t="shared" si="7"/>
        <v>0</v>
      </c>
      <c r="L39" s="852">
        <f t="shared" si="8"/>
        <v>0</v>
      </c>
      <c r="M39" s="852">
        <f t="shared" si="9"/>
        <v>0</v>
      </c>
      <c r="N39" s="852">
        <f t="shared" si="10"/>
        <v>0</v>
      </c>
      <c r="O39" s="852">
        <f t="shared" si="11"/>
        <v>0</v>
      </c>
      <c r="P39" s="853">
        <f t="shared" si="12"/>
        <v>0</v>
      </c>
    </row>
    <row r="40" spans="1:16" s="56" customFormat="1" ht="15.05">
      <c r="A40" s="840"/>
      <c r="B40" s="841"/>
      <c r="C40" s="843" t="s">
        <v>970</v>
      </c>
      <c r="D40" s="843"/>
      <c r="E40" s="843"/>
      <c r="F40" s="837"/>
      <c r="G40" s="837"/>
      <c r="H40" s="837"/>
      <c r="I40" s="837"/>
      <c r="J40" s="837"/>
      <c r="K40" s="852">
        <f t="shared" si="7"/>
        <v>0</v>
      </c>
      <c r="L40" s="852">
        <f t="shared" si="8"/>
        <v>0</v>
      </c>
      <c r="M40" s="852">
        <f t="shared" si="9"/>
        <v>0</v>
      </c>
      <c r="N40" s="852">
        <f t="shared" si="10"/>
        <v>0</v>
      </c>
      <c r="O40" s="852">
        <f t="shared" si="11"/>
        <v>0</v>
      </c>
      <c r="P40" s="853">
        <f t="shared" si="12"/>
        <v>0</v>
      </c>
    </row>
    <row r="41" spans="1:16" s="56" customFormat="1" ht="30.15">
      <c r="A41" s="844" t="s">
        <v>1826</v>
      </c>
      <c r="B41" s="845"/>
      <c r="C41" s="846" t="s">
        <v>1775</v>
      </c>
      <c r="D41" s="847" t="s">
        <v>1776</v>
      </c>
      <c r="E41" s="847">
        <v>33</v>
      </c>
      <c r="F41" s="848">
        <v>1.5</v>
      </c>
      <c r="G41" s="849">
        <v>10</v>
      </c>
      <c r="H41" s="850">
        <f t="shared" ref="H41" si="16">ROUND(F41*G41,2)</f>
        <v>15</v>
      </c>
      <c r="I41" s="851"/>
      <c r="J41" s="848">
        <v>1.2</v>
      </c>
      <c r="K41" s="852">
        <f t="shared" si="7"/>
        <v>16.2</v>
      </c>
      <c r="L41" s="852">
        <f t="shared" si="8"/>
        <v>49.5</v>
      </c>
      <c r="M41" s="852">
        <f t="shared" si="9"/>
        <v>495</v>
      </c>
      <c r="N41" s="852">
        <f t="shared" si="10"/>
        <v>0</v>
      </c>
      <c r="O41" s="852">
        <f t="shared" si="11"/>
        <v>39.6</v>
      </c>
      <c r="P41" s="853">
        <f t="shared" si="12"/>
        <v>534.6</v>
      </c>
    </row>
    <row r="42" spans="1:16" s="56" customFormat="1" ht="15.05">
      <c r="A42" s="844" t="s">
        <v>1827</v>
      </c>
      <c r="B42" s="845"/>
      <c r="C42" s="846" t="s">
        <v>1698</v>
      </c>
      <c r="D42" s="847" t="s">
        <v>111</v>
      </c>
      <c r="E42" s="847">
        <v>40</v>
      </c>
      <c r="F42" s="848">
        <v>1.2</v>
      </c>
      <c r="G42" s="849">
        <v>10</v>
      </c>
      <c r="H42" s="850">
        <f t="shared" ref="H42" si="17">ROUND(F42*G42,2)</f>
        <v>12</v>
      </c>
      <c r="I42" s="851"/>
      <c r="J42" s="848">
        <v>0.2</v>
      </c>
      <c r="K42" s="852">
        <f t="shared" si="7"/>
        <v>12.2</v>
      </c>
      <c r="L42" s="852">
        <f t="shared" si="8"/>
        <v>48</v>
      </c>
      <c r="M42" s="852">
        <f t="shared" si="9"/>
        <v>480</v>
      </c>
      <c r="N42" s="852">
        <f t="shared" si="10"/>
        <v>0</v>
      </c>
      <c r="O42" s="852">
        <f t="shared" si="11"/>
        <v>8</v>
      </c>
      <c r="P42" s="853">
        <f t="shared" si="12"/>
        <v>488</v>
      </c>
    </row>
    <row r="43" spans="1:16" s="56" customFormat="1" ht="15.05">
      <c r="A43" s="844" t="s">
        <v>1828</v>
      </c>
      <c r="B43" s="845"/>
      <c r="C43" s="846" t="s">
        <v>1777</v>
      </c>
      <c r="D43" s="847" t="s">
        <v>29</v>
      </c>
      <c r="E43" s="847">
        <v>30</v>
      </c>
      <c r="F43" s="848">
        <v>0.8</v>
      </c>
      <c r="G43" s="849">
        <v>10</v>
      </c>
      <c r="H43" s="850">
        <f t="shared" ref="H43" si="18">ROUND(F43*G43,2)</f>
        <v>8</v>
      </c>
      <c r="I43" s="851"/>
      <c r="J43" s="848">
        <v>0.5</v>
      </c>
      <c r="K43" s="852">
        <f t="shared" si="7"/>
        <v>8.5</v>
      </c>
      <c r="L43" s="852">
        <f t="shared" si="8"/>
        <v>24</v>
      </c>
      <c r="M43" s="852">
        <f t="shared" si="9"/>
        <v>240</v>
      </c>
      <c r="N43" s="852">
        <f t="shared" si="10"/>
        <v>0</v>
      </c>
      <c r="O43" s="852">
        <f t="shared" si="11"/>
        <v>15</v>
      </c>
      <c r="P43" s="853">
        <f t="shared" si="12"/>
        <v>255</v>
      </c>
    </row>
    <row r="44" spans="1:16" s="56" customFormat="1" ht="15.05">
      <c r="A44" s="844" t="s">
        <v>1829</v>
      </c>
      <c r="B44" s="845"/>
      <c r="C44" s="864" t="s">
        <v>1699</v>
      </c>
      <c r="D44" s="865" t="s">
        <v>111</v>
      </c>
      <c r="E44" s="847">
        <v>40</v>
      </c>
      <c r="F44" s="848">
        <v>1.35</v>
      </c>
      <c r="G44" s="849">
        <v>10</v>
      </c>
      <c r="H44" s="850">
        <f t="shared" ref="H44" si="19">ROUND(F44*G44,2)</f>
        <v>13.5</v>
      </c>
      <c r="I44" s="851"/>
      <c r="J44" s="848">
        <v>1.5</v>
      </c>
      <c r="K44" s="852">
        <f t="shared" si="7"/>
        <v>15</v>
      </c>
      <c r="L44" s="852">
        <f t="shared" si="8"/>
        <v>54</v>
      </c>
      <c r="M44" s="852">
        <f t="shared" si="9"/>
        <v>540</v>
      </c>
      <c r="N44" s="852">
        <f t="shared" si="10"/>
        <v>0</v>
      </c>
      <c r="O44" s="852">
        <f t="shared" si="11"/>
        <v>60</v>
      </c>
      <c r="P44" s="853">
        <f t="shared" si="12"/>
        <v>600</v>
      </c>
    </row>
    <row r="45" spans="1:16" s="56" customFormat="1" ht="15.05">
      <c r="A45" s="844" t="s">
        <v>1830</v>
      </c>
      <c r="B45" s="845"/>
      <c r="C45" s="864" t="s">
        <v>1778</v>
      </c>
      <c r="D45" s="847" t="s">
        <v>118</v>
      </c>
      <c r="E45" s="847">
        <v>5</v>
      </c>
      <c r="F45" s="848">
        <v>2.2000000000000002</v>
      </c>
      <c r="G45" s="849">
        <v>10</v>
      </c>
      <c r="H45" s="850">
        <f t="shared" ref="H45" si="20">ROUND(F45*G45,2)</f>
        <v>22</v>
      </c>
      <c r="I45" s="851"/>
      <c r="J45" s="848">
        <v>3</v>
      </c>
      <c r="K45" s="852">
        <f t="shared" si="7"/>
        <v>25</v>
      </c>
      <c r="L45" s="852">
        <f t="shared" si="8"/>
        <v>11</v>
      </c>
      <c r="M45" s="852">
        <f t="shared" si="9"/>
        <v>110</v>
      </c>
      <c r="N45" s="852">
        <f t="shared" si="10"/>
        <v>0</v>
      </c>
      <c r="O45" s="852">
        <f t="shared" si="11"/>
        <v>15</v>
      </c>
      <c r="P45" s="853">
        <f t="shared" si="12"/>
        <v>125</v>
      </c>
    </row>
    <row r="46" spans="1:16" s="56" customFormat="1" ht="24.9">
      <c r="A46" s="844" t="s">
        <v>1831</v>
      </c>
      <c r="B46" s="845"/>
      <c r="C46" s="866" t="s">
        <v>1779</v>
      </c>
      <c r="D46" s="847" t="s">
        <v>118</v>
      </c>
      <c r="E46" s="847">
        <v>1</v>
      </c>
      <c r="F46" s="848">
        <v>300</v>
      </c>
      <c r="G46" s="849">
        <v>10</v>
      </c>
      <c r="H46" s="850">
        <f t="shared" ref="H46" si="21">ROUND(F46*G46,2)</f>
        <v>3000</v>
      </c>
      <c r="I46" s="851"/>
      <c r="J46" s="848">
        <v>380</v>
      </c>
      <c r="K46" s="852">
        <f t="shared" si="7"/>
        <v>3380</v>
      </c>
      <c r="L46" s="852">
        <f t="shared" si="8"/>
        <v>300</v>
      </c>
      <c r="M46" s="852">
        <f t="shared" si="9"/>
        <v>3000</v>
      </c>
      <c r="N46" s="852">
        <f t="shared" si="10"/>
        <v>0</v>
      </c>
      <c r="O46" s="852">
        <f t="shared" si="11"/>
        <v>380</v>
      </c>
      <c r="P46" s="853">
        <f t="shared" si="12"/>
        <v>3380</v>
      </c>
    </row>
    <row r="47" spans="1:16" s="56" customFormat="1" ht="24.9">
      <c r="A47" s="844" t="s">
        <v>1832</v>
      </c>
      <c r="B47" s="845"/>
      <c r="C47" s="854" t="s">
        <v>1780</v>
      </c>
      <c r="D47" s="847" t="s">
        <v>118</v>
      </c>
      <c r="E47" s="847">
        <v>2</v>
      </c>
      <c r="F47" s="848">
        <v>75</v>
      </c>
      <c r="G47" s="849">
        <v>10</v>
      </c>
      <c r="H47" s="850">
        <f t="shared" ref="H47" si="22">ROUND(F47*G47,2)</f>
        <v>750</v>
      </c>
      <c r="I47" s="851"/>
      <c r="J47" s="848">
        <v>30</v>
      </c>
      <c r="K47" s="852">
        <f t="shared" si="7"/>
        <v>780</v>
      </c>
      <c r="L47" s="852">
        <f t="shared" si="8"/>
        <v>150</v>
      </c>
      <c r="M47" s="852">
        <f t="shared" si="9"/>
        <v>1500</v>
      </c>
      <c r="N47" s="852">
        <f t="shared" si="10"/>
        <v>0</v>
      </c>
      <c r="O47" s="852">
        <f t="shared" si="11"/>
        <v>60</v>
      </c>
      <c r="P47" s="853">
        <f t="shared" si="12"/>
        <v>1560</v>
      </c>
    </row>
    <row r="48" spans="1:16" s="56" customFormat="1" ht="15.05">
      <c r="A48" s="844" t="s">
        <v>1833</v>
      </c>
      <c r="B48" s="845"/>
      <c r="C48" s="868" t="s">
        <v>1701</v>
      </c>
      <c r="D48" s="867" t="s">
        <v>111</v>
      </c>
      <c r="E48" s="869">
        <v>40</v>
      </c>
      <c r="F48" s="848">
        <v>1.35</v>
      </c>
      <c r="G48" s="849">
        <v>10</v>
      </c>
      <c r="H48" s="850">
        <f t="shared" ref="H48" si="23">ROUND(F48*G48,2)</f>
        <v>13.5</v>
      </c>
      <c r="I48" s="851"/>
      <c r="J48" s="848">
        <v>6</v>
      </c>
      <c r="K48" s="852">
        <f t="shared" si="7"/>
        <v>19.5</v>
      </c>
      <c r="L48" s="852">
        <f t="shared" si="8"/>
        <v>54</v>
      </c>
      <c r="M48" s="852">
        <f t="shared" si="9"/>
        <v>540</v>
      </c>
      <c r="N48" s="852">
        <f t="shared" si="10"/>
        <v>0</v>
      </c>
      <c r="O48" s="852">
        <f t="shared" si="11"/>
        <v>240</v>
      </c>
      <c r="P48" s="853">
        <f t="shared" si="12"/>
        <v>780</v>
      </c>
    </row>
    <row r="49" spans="1:16" s="56" customFormat="1" ht="15.05">
      <c r="A49" s="840"/>
      <c r="B49" s="841"/>
      <c r="C49" s="843" t="s">
        <v>938</v>
      </c>
      <c r="D49" s="843"/>
      <c r="E49" s="843"/>
      <c r="F49" s="837"/>
      <c r="G49" s="837"/>
      <c r="H49" s="837"/>
      <c r="I49" s="837"/>
      <c r="J49" s="837"/>
      <c r="K49" s="852">
        <f t="shared" si="7"/>
        <v>0</v>
      </c>
      <c r="L49" s="852">
        <f t="shared" si="8"/>
        <v>0</v>
      </c>
      <c r="M49" s="852">
        <f t="shared" si="9"/>
        <v>0</v>
      </c>
      <c r="N49" s="852">
        <f t="shared" si="10"/>
        <v>0</v>
      </c>
      <c r="O49" s="852">
        <f t="shared" si="11"/>
        <v>0</v>
      </c>
      <c r="P49" s="853">
        <f t="shared" si="12"/>
        <v>0</v>
      </c>
    </row>
    <row r="50" spans="1:16" s="56" customFormat="1" ht="301.10000000000002">
      <c r="A50" s="883" t="s">
        <v>1834</v>
      </c>
      <c r="B50" s="859"/>
      <c r="C50" s="860" t="s">
        <v>1781</v>
      </c>
      <c r="D50" s="861" t="s">
        <v>136</v>
      </c>
      <c r="E50" s="861">
        <v>1</v>
      </c>
      <c r="F50" s="837"/>
      <c r="G50" s="837"/>
      <c r="H50" s="837"/>
      <c r="I50" s="837">
        <v>62301</v>
      </c>
      <c r="J50" s="837"/>
      <c r="K50" s="852">
        <f t="shared" si="7"/>
        <v>62301</v>
      </c>
      <c r="L50" s="852">
        <f t="shared" si="8"/>
        <v>0</v>
      </c>
      <c r="M50" s="852">
        <f t="shared" si="9"/>
        <v>0</v>
      </c>
      <c r="N50" s="852">
        <f t="shared" si="10"/>
        <v>62301</v>
      </c>
      <c r="O50" s="852">
        <f t="shared" si="11"/>
        <v>0</v>
      </c>
      <c r="P50" s="853">
        <f t="shared" si="12"/>
        <v>62301</v>
      </c>
    </row>
    <row r="51" spans="1:16" s="56" customFormat="1" ht="135.5">
      <c r="A51" s="883" t="s">
        <v>1835</v>
      </c>
      <c r="B51" s="859"/>
      <c r="C51" s="870" t="s">
        <v>1782</v>
      </c>
      <c r="D51" s="861" t="s">
        <v>136</v>
      </c>
      <c r="E51" s="861">
        <v>2</v>
      </c>
      <c r="F51" s="837"/>
      <c r="G51" s="837"/>
      <c r="H51" s="837"/>
      <c r="I51" s="837">
        <v>9384</v>
      </c>
      <c r="J51" s="837"/>
      <c r="K51" s="852">
        <f t="shared" si="7"/>
        <v>9384</v>
      </c>
      <c r="L51" s="852">
        <f t="shared" si="8"/>
        <v>0</v>
      </c>
      <c r="M51" s="852">
        <f t="shared" si="9"/>
        <v>0</v>
      </c>
      <c r="N51" s="852">
        <f t="shared" si="10"/>
        <v>18768</v>
      </c>
      <c r="O51" s="852">
        <f t="shared" si="11"/>
        <v>0</v>
      </c>
      <c r="P51" s="853">
        <f t="shared" si="12"/>
        <v>18768</v>
      </c>
    </row>
    <row r="52" spans="1:16" s="56" customFormat="1" ht="15.05">
      <c r="A52" s="883" t="s">
        <v>1836</v>
      </c>
      <c r="B52" s="859"/>
      <c r="C52" s="863" t="s">
        <v>1783</v>
      </c>
      <c r="D52" s="861" t="s">
        <v>111</v>
      </c>
      <c r="E52" s="861">
        <v>40</v>
      </c>
      <c r="F52" s="837"/>
      <c r="G52" s="837"/>
      <c r="H52" s="837"/>
      <c r="I52" s="837">
        <v>3.1</v>
      </c>
      <c r="J52" s="837"/>
      <c r="K52" s="852">
        <f t="shared" si="7"/>
        <v>3.1</v>
      </c>
      <c r="L52" s="852">
        <f t="shared" si="8"/>
        <v>0</v>
      </c>
      <c r="M52" s="852">
        <f t="shared" si="9"/>
        <v>0</v>
      </c>
      <c r="N52" s="852">
        <f t="shared" si="10"/>
        <v>124</v>
      </c>
      <c r="O52" s="852">
        <f t="shared" si="11"/>
        <v>0</v>
      </c>
      <c r="P52" s="853">
        <f t="shared" si="12"/>
        <v>124</v>
      </c>
    </row>
    <row r="53" spans="1:16" s="56" customFormat="1" ht="30.15">
      <c r="A53" s="883" t="s">
        <v>1837</v>
      </c>
      <c r="B53" s="859"/>
      <c r="C53" s="863" t="s">
        <v>1784</v>
      </c>
      <c r="D53" s="847" t="s">
        <v>118</v>
      </c>
      <c r="E53" s="861">
        <v>3</v>
      </c>
      <c r="F53" s="837"/>
      <c r="G53" s="837"/>
      <c r="H53" s="837"/>
      <c r="I53" s="837">
        <v>3.1</v>
      </c>
      <c r="J53" s="837"/>
      <c r="K53" s="852">
        <f t="shared" si="7"/>
        <v>3.1</v>
      </c>
      <c r="L53" s="852">
        <f t="shared" si="8"/>
        <v>0</v>
      </c>
      <c r="M53" s="852">
        <f t="shared" si="9"/>
        <v>0</v>
      </c>
      <c r="N53" s="852">
        <f t="shared" si="10"/>
        <v>9.3000000000000007</v>
      </c>
      <c r="O53" s="852">
        <f t="shared" si="11"/>
        <v>0</v>
      </c>
      <c r="P53" s="853">
        <f t="shared" si="12"/>
        <v>9.3000000000000007</v>
      </c>
    </row>
    <row r="54" spans="1:16" s="56" customFormat="1" ht="30.15">
      <c r="A54" s="883" t="s">
        <v>1838</v>
      </c>
      <c r="B54" s="859"/>
      <c r="C54" s="863" t="s">
        <v>700</v>
      </c>
      <c r="D54" s="847" t="s">
        <v>118</v>
      </c>
      <c r="E54" s="861">
        <v>42</v>
      </c>
      <c r="F54" s="837"/>
      <c r="G54" s="837"/>
      <c r="H54" s="837"/>
      <c r="I54" s="837">
        <v>2.5499999999999998</v>
      </c>
      <c r="J54" s="837"/>
      <c r="K54" s="852">
        <f t="shared" si="7"/>
        <v>2.5499999999999998</v>
      </c>
      <c r="L54" s="852">
        <f t="shared" si="8"/>
        <v>0</v>
      </c>
      <c r="M54" s="852">
        <f t="shared" si="9"/>
        <v>0</v>
      </c>
      <c r="N54" s="852">
        <f t="shared" si="10"/>
        <v>107.1</v>
      </c>
      <c r="O54" s="852">
        <f t="shared" si="11"/>
        <v>0</v>
      </c>
      <c r="P54" s="853">
        <f t="shared" si="12"/>
        <v>107.1</v>
      </c>
    </row>
    <row r="55" spans="1:16" s="56" customFormat="1" ht="15.05">
      <c r="A55" s="883" t="s">
        <v>1839</v>
      </c>
      <c r="B55" s="859"/>
      <c r="C55" s="860" t="s">
        <v>1785</v>
      </c>
      <c r="D55" s="865" t="s">
        <v>884</v>
      </c>
      <c r="E55" s="865" t="s">
        <v>1786</v>
      </c>
      <c r="F55" s="837"/>
      <c r="G55" s="837"/>
      <c r="H55" s="837"/>
      <c r="I55" s="837">
        <v>6.8</v>
      </c>
      <c r="J55" s="837"/>
      <c r="K55" s="852">
        <f t="shared" si="7"/>
        <v>6.8</v>
      </c>
      <c r="L55" s="852">
        <f t="shared" si="8"/>
        <v>0</v>
      </c>
      <c r="M55" s="852">
        <f t="shared" si="9"/>
        <v>0</v>
      </c>
      <c r="N55" s="852">
        <f t="shared" si="10"/>
        <v>13.6</v>
      </c>
      <c r="O55" s="852">
        <f t="shared" si="11"/>
        <v>0</v>
      </c>
      <c r="P55" s="853">
        <f t="shared" si="12"/>
        <v>13.6</v>
      </c>
    </row>
    <row r="56" spans="1:16" s="56" customFormat="1" ht="15.05">
      <c r="A56" s="883" t="s">
        <v>1840</v>
      </c>
      <c r="B56" s="859"/>
      <c r="C56" s="860" t="s">
        <v>1787</v>
      </c>
      <c r="D56" s="865" t="s">
        <v>884</v>
      </c>
      <c r="E56" s="865" t="s">
        <v>1788</v>
      </c>
      <c r="F56" s="837"/>
      <c r="G56" s="837"/>
      <c r="H56" s="837"/>
      <c r="I56" s="837">
        <v>21</v>
      </c>
      <c r="J56" s="837"/>
      <c r="K56" s="852">
        <f t="shared" si="7"/>
        <v>21</v>
      </c>
      <c r="L56" s="852">
        <f t="shared" si="8"/>
        <v>0</v>
      </c>
      <c r="M56" s="852">
        <f t="shared" si="9"/>
        <v>0</v>
      </c>
      <c r="N56" s="852">
        <f t="shared" si="10"/>
        <v>210</v>
      </c>
      <c r="O56" s="852">
        <f t="shared" si="11"/>
        <v>0</v>
      </c>
      <c r="P56" s="853">
        <f t="shared" si="12"/>
        <v>210</v>
      </c>
    </row>
    <row r="57" spans="1:16" s="56" customFormat="1" ht="15.05">
      <c r="A57" s="883" t="s">
        <v>1841</v>
      </c>
      <c r="B57" s="859"/>
      <c r="C57" s="860" t="s">
        <v>1789</v>
      </c>
      <c r="D57" s="865" t="s">
        <v>29</v>
      </c>
      <c r="E57" s="865" t="s">
        <v>1790</v>
      </c>
      <c r="F57" s="837"/>
      <c r="G57" s="837"/>
      <c r="H57" s="837"/>
      <c r="I57" s="837">
        <v>25</v>
      </c>
      <c r="J57" s="837"/>
      <c r="K57" s="852">
        <f t="shared" si="7"/>
        <v>25</v>
      </c>
      <c r="L57" s="852">
        <f t="shared" si="8"/>
        <v>0</v>
      </c>
      <c r="M57" s="852">
        <f t="shared" si="9"/>
        <v>0</v>
      </c>
      <c r="N57" s="852">
        <f t="shared" si="10"/>
        <v>175</v>
      </c>
      <c r="O57" s="852">
        <f t="shared" si="11"/>
        <v>0</v>
      </c>
      <c r="P57" s="853">
        <f t="shared" si="12"/>
        <v>175</v>
      </c>
    </row>
    <row r="58" spans="1:16" s="56" customFormat="1" ht="15.05">
      <c r="A58" s="883" t="s">
        <v>1842</v>
      </c>
      <c r="B58" s="859"/>
      <c r="C58" s="860" t="s">
        <v>1791</v>
      </c>
      <c r="D58" s="865" t="s">
        <v>29</v>
      </c>
      <c r="E58" s="865" t="s">
        <v>1792</v>
      </c>
      <c r="F58" s="837"/>
      <c r="G58" s="837"/>
      <c r="H58" s="837"/>
      <c r="I58" s="837">
        <v>9.5</v>
      </c>
      <c r="J58" s="837"/>
      <c r="K58" s="852">
        <f t="shared" si="7"/>
        <v>9.5</v>
      </c>
      <c r="L58" s="852">
        <f t="shared" si="8"/>
        <v>0</v>
      </c>
      <c r="M58" s="852">
        <f t="shared" si="9"/>
        <v>0</v>
      </c>
      <c r="N58" s="852">
        <f t="shared" si="10"/>
        <v>285</v>
      </c>
      <c r="O58" s="852">
        <f t="shared" si="11"/>
        <v>0</v>
      </c>
      <c r="P58" s="853">
        <f t="shared" si="12"/>
        <v>285</v>
      </c>
    </row>
    <row r="59" spans="1:16" s="56" customFormat="1" ht="15.05">
      <c r="A59" s="883" t="s">
        <v>1843</v>
      </c>
      <c r="B59" s="859"/>
      <c r="C59" s="871" t="s">
        <v>1793</v>
      </c>
      <c r="D59" s="865" t="s">
        <v>111</v>
      </c>
      <c r="E59" s="865" t="s">
        <v>1794</v>
      </c>
      <c r="F59" s="837"/>
      <c r="G59" s="837"/>
      <c r="H59" s="837"/>
      <c r="I59" s="837">
        <v>7.8</v>
      </c>
      <c r="J59" s="837"/>
      <c r="K59" s="852">
        <f t="shared" si="7"/>
        <v>7.8</v>
      </c>
      <c r="L59" s="852">
        <f t="shared" si="8"/>
        <v>0</v>
      </c>
      <c r="M59" s="852">
        <f t="shared" si="9"/>
        <v>0</v>
      </c>
      <c r="N59" s="852">
        <f t="shared" si="10"/>
        <v>296.39999999999998</v>
      </c>
      <c r="O59" s="852">
        <f t="shared" si="11"/>
        <v>0</v>
      </c>
      <c r="P59" s="853">
        <f t="shared" si="12"/>
        <v>296.39999999999998</v>
      </c>
    </row>
    <row r="60" spans="1:16" s="56" customFormat="1" ht="60.25">
      <c r="A60" s="883" t="s">
        <v>1844</v>
      </c>
      <c r="B60" s="859"/>
      <c r="C60" s="871" t="s">
        <v>1795</v>
      </c>
      <c r="D60" s="847" t="s">
        <v>118</v>
      </c>
      <c r="E60" s="865" t="s">
        <v>1790</v>
      </c>
      <c r="F60" s="837"/>
      <c r="G60" s="837"/>
      <c r="H60" s="837"/>
      <c r="I60" s="837">
        <v>25</v>
      </c>
      <c r="J60" s="837"/>
      <c r="K60" s="852">
        <f t="shared" si="7"/>
        <v>25</v>
      </c>
      <c r="L60" s="852">
        <f t="shared" si="8"/>
        <v>0</v>
      </c>
      <c r="M60" s="852">
        <f t="shared" si="9"/>
        <v>0</v>
      </c>
      <c r="N60" s="852">
        <f t="shared" si="10"/>
        <v>175</v>
      </c>
      <c r="O60" s="852">
        <f t="shared" si="11"/>
        <v>0</v>
      </c>
      <c r="P60" s="853">
        <f t="shared" si="12"/>
        <v>175</v>
      </c>
    </row>
    <row r="61" spans="1:16" s="56" customFormat="1" ht="30.15">
      <c r="A61" s="883" t="s">
        <v>1845</v>
      </c>
      <c r="B61" s="859"/>
      <c r="C61" s="871" t="s">
        <v>1796</v>
      </c>
      <c r="D61" s="865" t="s">
        <v>111</v>
      </c>
      <c r="E61" s="865" t="s">
        <v>1702</v>
      </c>
      <c r="F61" s="837"/>
      <c r="G61" s="837"/>
      <c r="H61" s="837"/>
      <c r="I61" s="837">
        <v>5.9</v>
      </c>
      <c r="J61" s="837"/>
      <c r="K61" s="852">
        <f t="shared" si="7"/>
        <v>5.9</v>
      </c>
      <c r="L61" s="852">
        <f t="shared" si="8"/>
        <v>0</v>
      </c>
      <c r="M61" s="852">
        <f t="shared" si="9"/>
        <v>0</v>
      </c>
      <c r="N61" s="852">
        <f t="shared" si="10"/>
        <v>236</v>
      </c>
      <c r="O61" s="852">
        <f t="shared" si="11"/>
        <v>0</v>
      </c>
      <c r="P61" s="853">
        <f t="shared" si="12"/>
        <v>236</v>
      </c>
    </row>
    <row r="62" spans="1:16" s="56" customFormat="1" ht="30.15">
      <c r="A62" s="883" t="s">
        <v>1846</v>
      </c>
      <c r="B62" s="859"/>
      <c r="C62" s="871" t="s">
        <v>1797</v>
      </c>
      <c r="D62" s="865" t="s">
        <v>111</v>
      </c>
      <c r="E62" s="865" t="s">
        <v>1798</v>
      </c>
      <c r="F62" s="837"/>
      <c r="G62" s="837"/>
      <c r="H62" s="837"/>
      <c r="I62" s="837">
        <v>2.46</v>
      </c>
      <c r="J62" s="837"/>
      <c r="K62" s="852">
        <f t="shared" si="7"/>
        <v>2.46</v>
      </c>
      <c r="L62" s="852">
        <f t="shared" si="8"/>
        <v>0</v>
      </c>
      <c r="M62" s="852">
        <f t="shared" si="9"/>
        <v>0</v>
      </c>
      <c r="N62" s="852">
        <f t="shared" si="10"/>
        <v>14.76</v>
      </c>
      <c r="O62" s="852">
        <f t="shared" si="11"/>
        <v>0</v>
      </c>
      <c r="P62" s="853">
        <f t="shared" si="12"/>
        <v>14.76</v>
      </c>
    </row>
    <row r="63" spans="1:16" s="56" customFormat="1" ht="45.2">
      <c r="A63" s="883" t="s">
        <v>1847</v>
      </c>
      <c r="B63" s="859"/>
      <c r="C63" s="871" t="s">
        <v>1799</v>
      </c>
      <c r="D63" s="861" t="s">
        <v>136</v>
      </c>
      <c r="E63" s="865" t="s">
        <v>1786</v>
      </c>
      <c r="F63" s="837"/>
      <c r="G63" s="837"/>
      <c r="H63" s="837"/>
      <c r="I63" s="837">
        <v>145</v>
      </c>
      <c r="J63" s="837"/>
      <c r="K63" s="852">
        <f t="shared" si="7"/>
        <v>145</v>
      </c>
      <c r="L63" s="852">
        <f t="shared" si="8"/>
        <v>0</v>
      </c>
      <c r="M63" s="852">
        <f t="shared" si="9"/>
        <v>0</v>
      </c>
      <c r="N63" s="852">
        <f t="shared" si="10"/>
        <v>290</v>
      </c>
      <c r="O63" s="852">
        <f t="shared" si="11"/>
        <v>0</v>
      </c>
      <c r="P63" s="853">
        <f t="shared" si="12"/>
        <v>290</v>
      </c>
    </row>
    <row r="64" spans="1:16" s="56" customFormat="1" ht="30.15">
      <c r="A64" s="883" t="s">
        <v>1848</v>
      </c>
      <c r="B64" s="859"/>
      <c r="C64" s="871" t="s">
        <v>1800</v>
      </c>
      <c r="D64" s="861" t="s">
        <v>136</v>
      </c>
      <c r="E64" s="865" t="s">
        <v>1801</v>
      </c>
      <c r="F64" s="837"/>
      <c r="G64" s="837"/>
      <c r="H64" s="837"/>
      <c r="I64" s="837">
        <v>7.8</v>
      </c>
      <c r="J64" s="837"/>
      <c r="K64" s="852">
        <f t="shared" si="7"/>
        <v>7.8</v>
      </c>
      <c r="L64" s="852">
        <f t="shared" si="8"/>
        <v>0</v>
      </c>
      <c r="M64" s="852">
        <f t="shared" si="9"/>
        <v>0</v>
      </c>
      <c r="N64" s="852">
        <f t="shared" si="10"/>
        <v>39</v>
      </c>
      <c r="O64" s="852">
        <f t="shared" si="11"/>
        <v>0</v>
      </c>
      <c r="P64" s="853">
        <f t="shared" si="12"/>
        <v>39</v>
      </c>
    </row>
    <row r="65" spans="1:16" s="56" customFormat="1" ht="15.05">
      <c r="A65" s="840"/>
      <c r="B65" s="841"/>
      <c r="C65" s="842" t="s">
        <v>1730</v>
      </c>
      <c r="D65" s="842"/>
      <c r="E65" s="842"/>
      <c r="F65" s="837"/>
      <c r="G65" s="837"/>
      <c r="H65" s="837"/>
      <c r="I65" s="837"/>
      <c r="J65" s="837"/>
      <c r="K65" s="852">
        <f t="shared" si="7"/>
        <v>0</v>
      </c>
      <c r="L65" s="852">
        <f t="shared" si="8"/>
        <v>0</v>
      </c>
      <c r="M65" s="852">
        <f t="shared" si="9"/>
        <v>0</v>
      </c>
      <c r="N65" s="852">
        <f t="shared" si="10"/>
        <v>0</v>
      </c>
      <c r="O65" s="852">
        <f t="shared" si="11"/>
        <v>0</v>
      </c>
      <c r="P65" s="853">
        <f t="shared" si="12"/>
        <v>0</v>
      </c>
    </row>
    <row r="66" spans="1:16" s="56" customFormat="1" ht="15.05">
      <c r="A66" s="840"/>
      <c r="B66" s="841"/>
      <c r="C66" s="843" t="s">
        <v>970</v>
      </c>
      <c r="D66" s="843"/>
      <c r="E66" s="843"/>
      <c r="F66" s="837"/>
      <c r="G66" s="837"/>
      <c r="H66" s="837"/>
      <c r="I66" s="837"/>
      <c r="J66" s="837"/>
      <c r="K66" s="852">
        <f t="shared" si="7"/>
        <v>0</v>
      </c>
      <c r="L66" s="852">
        <f t="shared" si="8"/>
        <v>0</v>
      </c>
      <c r="M66" s="852">
        <f t="shared" si="9"/>
        <v>0</v>
      </c>
      <c r="N66" s="852">
        <f t="shared" si="10"/>
        <v>0</v>
      </c>
      <c r="O66" s="852">
        <f t="shared" si="11"/>
        <v>0</v>
      </c>
      <c r="P66" s="853">
        <f t="shared" si="12"/>
        <v>0</v>
      </c>
    </row>
    <row r="67" spans="1:16" s="56" customFormat="1" ht="15.05">
      <c r="A67" s="844" t="s">
        <v>1849</v>
      </c>
      <c r="B67" s="845"/>
      <c r="C67" s="864" t="s">
        <v>1734</v>
      </c>
      <c r="D67" s="865" t="s">
        <v>111</v>
      </c>
      <c r="E67" s="847">
        <v>150</v>
      </c>
      <c r="F67" s="848">
        <v>0.09</v>
      </c>
      <c r="G67" s="849">
        <v>6</v>
      </c>
      <c r="H67" s="850">
        <f t="shared" ref="H67:H69" si="24">ROUND(F67*G67,2)</f>
        <v>0.54</v>
      </c>
      <c r="I67" s="851"/>
      <c r="J67" s="848">
        <v>0.03</v>
      </c>
      <c r="K67" s="852">
        <f t="shared" si="7"/>
        <v>0.57000000000000006</v>
      </c>
      <c r="L67" s="852">
        <f t="shared" si="8"/>
        <v>13.5</v>
      </c>
      <c r="M67" s="852">
        <f t="shared" si="9"/>
        <v>81</v>
      </c>
      <c r="N67" s="852">
        <f t="shared" si="10"/>
        <v>0</v>
      </c>
      <c r="O67" s="852">
        <f t="shared" si="11"/>
        <v>4.5</v>
      </c>
      <c r="P67" s="853">
        <f t="shared" si="12"/>
        <v>85.5</v>
      </c>
    </row>
    <row r="68" spans="1:16" s="56" customFormat="1" ht="15.05">
      <c r="A68" s="844" t="s">
        <v>1850</v>
      </c>
      <c r="B68" s="845"/>
      <c r="C68" s="864" t="s">
        <v>1736</v>
      </c>
      <c r="D68" s="865" t="s">
        <v>111</v>
      </c>
      <c r="E68" s="847">
        <v>150</v>
      </c>
      <c r="F68" s="848"/>
      <c r="G68" s="849"/>
      <c r="H68" s="850">
        <f t="shared" si="24"/>
        <v>0</v>
      </c>
      <c r="I68" s="851"/>
      <c r="J68" s="848">
        <v>1.5</v>
      </c>
      <c r="K68" s="852">
        <f t="shared" si="7"/>
        <v>1.5</v>
      </c>
      <c r="L68" s="852">
        <f t="shared" si="8"/>
        <v>0</v>
      </c>
      <c r="M68" s="852">
        <f t="shared" si="9"/>
        <v>0</v>
      </c>
      <c r="N68" s="852">
        <f t="shared" si="10"/>
        <v>0</v>
      </c>
      <c r="O68" s="852">
        <f t="shared" si="11"/>
        <v>225</v>
      </c>
      <c r="P68" s="853">
        <f t="shared" si="12"/>
        <v>225</v>
      </c>
    </row>
    <row r="69" spans="1:16" s="56" customFormat="1" ht="15.05">
      <c r="A69" s="844" t="s">
        <v>1851</v>
      </c>
      <c r="B69" s="845"/>
      <c r="C69" s="864" t="s">
        <v>1737</v>
      </c>
      <c r="D69" s="865" t="s">
        <v>1738</v>
      </c>
      <c r="E69" s="847">
        <v>1</v>
      </c>
      <c r="F69" s="848"/>
      <c r="G69" s="849"/>
      <c r="H69" s="850">
        <f t="shared" si="24"/>
        <v>0</v>
      </c>
      <c r="I69" s="851"/>
      <c r="J69" s="848">
        <v>35</v>
      </c>
      <c r="K69" s="852">
        <f t="shared" si="7"/>
        <v>35</v>
      </c>
      <c r="L69" s="852">
        <f t="shared" si="8"/>
        <v>0</v>
      </c>
      <c r="M69" s="852">
        <f t="shared" si="9"/>
        <v>0</v>
      </c>
      <c r="N69" s="852">
        <f t="shared" si="10"/>
        <v>0</v>
      </c>
      <c r="O69" s="852">
        <f t="shared" si="11"/>
        <v>35</v>
      </c>
      <c r="P69" s="853">
        <f t="shared" si="12"/>
        <v>35</v>
      </c>
    </row>
    <row r="70" spans="1:16" s="56" customFormat="1" ht="30.15">
      <c r="A70" s="844" t="s">
        <v>1852</v>
      </c>
      <c r="B70" s="845"/>
      <c r="C70" s="864" t="s">
        <v>1802</v>
      </c>
      <c r="D70" s="865" t="s">
        <v>1803</v>
      </c>
      <c r="E70" s="847">
        <v>8</v>
      </c>
      <c r="F70" s="872"/>
      <c r="G70" s="873"/>
      <c r="H70" s="874"/>
      <c r="I70" s="874"/>
      <c r="J70" s="875">
        <v>30</v>
      </c>
      <c r="K70" s="852">
        <f t="shared" si="7"/>
        <v>30</v>
      </c>
      <c r="L70" s="852">
        <f t="shared" si="8"/>
        <v>0</v>
      </c>
      <c r="M70" s="852">
        <f t="shared" si="9"/>
        <v>0</v>
      </c>
      <c r="N70" s="852">
        <f t="shared" si="10"/>
        <v>0</v>
      </c>
      <c r="O70" s="852">
        <f t="shared" si="11"/>
        <v>240</v>
      </c>
      <c r="P70" s="853">
        <f t="shared" si="12"/>
        <v>240</v>
      </c>
    </row>
    <row r="71" spans="1:16">
      <c r="A71" s="876"/>
      <c r="B71" s="877"/>
      <c r="C71" s="878"/>
      <c r="D71" s="879"/>
      <c r="E71" s="880"/>
      <c r="F71" s="880">
        <v>0</v>
      </c>
      <c r="G71" s="880">
        <v>0</v>
      </c>
      <c r="H71" s="881"/>
      <c r="I71" s="881"/>
      <c r="J71" s="880"/>
      <c r="K71" s="880"/>
      <c r="L71" s="880"/>
      <c r="M71" s="880"/>
      <c r="N71" s="880"/>
      <c r="O71" s="880"/>
      <c r="P71" s="882"/>
    </row>
    <row r="72" spans="1:16" ht="15.05" customHeight="1">
      <c r="A72" s="206"/>
      <c r="B72" s="206"/>
      <c r="C72" s="951" t="s">
        <v>99</v>
      </c>
      <c r="D72" s="952"/>
      <c r="E72" s="952"/>
      <c r="F72" s="952"/>
      <c r="G72" s="952"/>
      <c r="H72" s="952"/>
      <c r="I72" s="952"/>
      <c r="J72" s="952"/>
      <c r="K72" s="952"/>
      <c r="L72" s="208">
        <f>SUM(L13:L71)</f>
        <v>811.24</v>
      </c>
      <c r="M72" s="208">
        <f>SUM(M13:M71)</f>
        <v>7911.84</v>
      </c>
      <c r="N72" s="208">
        <f>SUM(N13:N71)</f>
        <v>88071.41</v>
      </c>
      <c r="O72" s="208">
        <f>SUM(O13:O71)</f>
        <v>1479.1</v>
      </c>
      <c r="P72" s="208">
        <f>SUM(P13:P71)</f>
        <v>97462.35</v>
      </c>
    </row>
    <row r="73" spans="1:16" s="125" customFormat="1" collapsed="1">
      <c r="I73" s="146"/>
    </row>
    <row r="74" spans="1:16" s="122" customFormat="1" ht="12.8" customHeight="1">
      <c r="B74" s="147" t="s">
        <v>54</v>
      </c>
    </row>
    <row r="75" spans="1:16" s="122" customFormat="1" ht="45" customHeight="1">
      <c r="A75" s="926" t="str">
        <f>'3,1'!A53:H53</f>
        <v xml:space="preserve"> Būvuzņēmējam jādod pilna apjoma tendera cenu piedāvājums, ieskaitot palīgdarbus  un materiālus, kas nav uzrādīti tāmē, apjomu sarakstā un projektā, bet ir nepieciešami projektētā būvobjekta izbūvei un nodošanai ekspluatācijā.</v>
      </c>
      <c r="B75" s="926"/>
      <c r="C75" s="926"/>
      <c r="D75" s="926"/>
      <c r="E75" s="926"/>
      <c r="F75" s="926"/>
      <c r="G75" s="926"/>
      <c r="H75" s="926"/>
      <c r="I75" s="926"/>
      <c r="J75" s="926"/>
      <c r="K75" s="926"/>
      <c r="L75" s="926"/>
      <c r="M75" s="926"/>
      <c r="N75" s="926"/>
      <c r="O75" s="926"/>
      <c r="P75" s="926"/>
    </row>
    <row r="76" spans="1:16" s="122" customFormat="1" ht="71.2" customHeight="1">
      <c r="A76" s="925">
        <f>'3,1'!$A$54</f>
        <v>0</v>
      </c>
      <c r="B76" s="925"/>
      <c r="C76" s="925"/>
      <c r="D76" s="925"/>
      <c r="E76" s="925"/>
      <c r="F76" s="925"/>
      <c r="G76" s="925"/>
      <c r="H76" s="925"/>
      <c r="I76" s="925"/>
      <c r="J76" s="925"/>
      <c r="K76" s="925"/>
      <c r="L76" s="925"/>
      <c r="M76" s="925"/>
      <c r="N76" s="925"/>
      <c r="O76" s="925"/>
      <c r="P76" s="925"/>
    </row>
    <row r="77" spans="1:16" s="122" customFormat="1" ht="12.8" customHeight="1">
      <c r="B77" s="148"/>
    </row>
    <row r="78" spans="1:16" s="122" customFormat="1" ht="12.8" customHeight="1">
      <c r="B78" s="148"/>
    </row>
    <row r="79" spans="1:16" s="125" customFormat="1">
      <c r="B79" s="125" t="str">
        <f>'3,3'!B52</f>
        <v>Sastādīja:</v>
      </c>
      <c r="L79" s="125" t="str">
        <f>'3,3'!M52</f>
        <v>Pārbaudīja:</v>
      </c>
    </row>
    <row r="80" spans="1:16" s="125" customFormat="1">
      <c r="C80" s="812" t="str">
        <f>'3,3'!C53</f>
        <v>Arnis Gailītis</v>
      </c>
      <c r="L80" s="812"/>
      <c r="M80" s="922" t="str">
        <f>'3,3'!N53</f>
        <v>Dzintra Cīrule</v>
      </c>
      <c r="N80" s="922"/>
    </row>
    <row r="81" spans="2:14" s="125" customFormat="1">
      <c r="C81" s="813" t="str">
        <f>'3,3'!C54</f>
        <v>Sertifikāta Nr.20-5643</v>
      </c>
      <c r="L81" s="813"/>
      <c r="M81" s="923" t="str">
        <f>'3,3'!N54</f>
        <v>Sertifikāta Nr.10-0363</v>
      </c>
      <c r="N81" s="923"/>
    </row>
    <row r="82" spans="2:14" s="125" customFormat="1" collapsed="1">
      <c r="B82" s="146"/>
      <c r="F82" s="146"/>
      <c r="G82" s="146"/>
    </row>
  </sheetData>
  <autoFilter ref="D1:D82"/>
  <mergeCells count="17">
    <mergeCell ref="A2:P2"/>
    <mergeCell ref="D3:P3"/>
    <mergeCell ref="D4:P4"/>
    <mergeCell ref="D5:P5"/>
    <mergeCell ref="L9:O9"/>
    <mergeCell ref="M81:N81"/>
    <mergeCell ref="F11:K11"/>
    <mergeCell ref="L11:P11"/>
    <mergeCell ref="C72:K72"/>
    <mergeCell ref="A75:P75"/>
    <mergeCell ref="A76:P76"/>
    <mergeCell ref="M80:N80"/>
    <mergeCell ref="A11:A12"/>
    <mergeCell ref="B11:B12"/>
    <mergeCell ref="C11:C12"/>
    <mergeCell ref="D11:D12"/>
    <mergeCell ref="E11:E12"/>
  </mergeCells>
  <printOptions horizontalCentered="1"/>
  <pageMargins left="0.27559055118110237" right="0.27559055118110237" top="0.74803149606299213" bottom="0.74803149606299213" header="0.31496062992125984" footer="0.31496062992125984"/>
  <pageSetup paperSize="9" scale="67"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38"/>
  <sheetViews>
    <sheetView showZeros="0" view="pageBreakPreview" topLeftCell="A7" zoomScale="90" zoomScaleNormal="100" zoomScaleSheetLayoutView="90" workbookViewId="0">
      <selection activeCell="L23" sqref="L23"/>
    </sheetView>
  </sheetViews>
  <sheetFormatPr defaultColWidth="9.125" defaultRowHeight="12.45"/>
  <cols>
    <col min="1" max="1" width="10.25" style="67" customWidth="1"/>
    <col min="2" max="2" width="12.75" style="67" customWidth="1"/>
    <col min="3" max="3" width="32.75" style="67" customWidth="1"/>
    <col min="4" max="4" width="10" style="67" customWidth="1"/>
    <col min="5" max="5" width="13.25" style="67" customWidth="1"/>
    <col min="6" max="6" width="13.75" style="67" customWidth="1"/>
    <col min="7" max="7" width="17.625" style="67" customWidth="1"/>
    <col min="8" max="8" width="12.875" style="67" customWidth="1"/>
    <col min="9" max="9" width="16" style="67" customWidth="1"/>
    <col min="10" max="16384" width="9.125" style="67"/>
  </cols>
  <sheetData>
    <row r="1" spans="1:9" ht="17.7">
      <c r="A1" s="66"/>
    </row>
    <row r="2" spans="1:9" ht="18" customHeight="1">
      <c r="A2" s="906" t="s">
        <v>89</v>
      </c>
      <c r="B2" s="906"/>
      <c r="C2" s="906"/>
      <c r="D2" s="906"/>
      <c r="E2" s="906"/>
      <c r="F2" s="906"/>
      <c r="G2" s="906"/>
      <c r="H2" s="906"/>
      <c r="I2" s="906"/>
    </row>
    <row r="3" spans="1:9" ht="17.7">
      <c r="C3" s="68"/>
      <c r="D3" s="69"/>
      <c r="F3" s="73"/>
      <c r="G3" s="73"/>
      <c r="H3" s="73"/>
      <c r="I3" s="73"/>
    </row>
    <row r="4" spans="1:9" ht="17.7">
      <c r="C4" s="68"/>
      <c r="D4" s="69"/>
      <c r="F4" s="73"/>
      <c r="G4" s="73"/>
      <c r="H4" s="73"/>
      <c r="I4" s="73"/>
    </row>
    <row r="5" spans="1:9">
      <c r="A5" s="72"/>
    </row>
    <row r="6" spans="1:9" ht="17.7">
      <c r="A6" s="897" t="str">
        <f>Koptame!C24</f>
        <v>Teritorijas labiekārtošana</v>
      </c>
      <c r="B6" s="898"/>
      <c r="C6" s="898"/>
      <c r="D6" s="898"/>
      <c r="E6" s="898"/>
      <c r="F6" s="898"/>
      <c r="G6" s="898"/>
      <c r="H6" s="898"/>
      <c r="I6" s="899"/>
    </row>
    <row r="7" spans="1:9">
      <c r="A7" s="72"/>
    </row>
    <row r="8" spans="1:9" ht="15.05">
      <c r="A8" s="909" t="s">
        <v>9</v>
      </c>
      <c r="B8" s="909"/>
      <c r="C8" s="915" t="str">
        <f>Koptame!C11</f>
        <v>Ražošanas ēka</v>
      </c>
      <c r="D8" s="915"/>
      <c r="E8" s="915"/>
      <c r="F8" s="915"/>
      <c r="G8" s="915"/>
      <c r="H8" s="915"/>
      <c r="I8" s="915"/>
    </row>
    <row r="9" spans="1:9" ht="15.75" customHeight="1">
      <c r="A9" s="900" t="s">
        <v>27</v>
      </c>
      <c r="B9" s="900"/>
      <c r="C9" s="915" t="str">
        <f>Koptame!C12</f>
        <v>Ražošanas ēkas Nr.7 jaunbūve</v>
      </c>
      <c r="D9" s="915"/>
      <c r="E9" s="915"/>
      <c r="F9" s="915"/>
      <c r="G9" s="915"/>
      <c r="H9" s="915"/>
      <c r="I9" s="915"/>
    </row>
    <row r="10" spans="1:9" ht="15.05">
      <c r="A10" s="900" t="s">
        <v>10</v>
      </c>
      <c r="B10" s="900"/>
      <c r="C10" s="915" t="str">
        <f>Koptame!C13</f>
        <v>Ventspils, Ventspils Augsto tehnoloģiju parks</v>
      </c>
      <c r="D10" s="915"/>
      <c r="E10" s="915"/>
      <c r="F10" s="915"/>
      <c r="G10" s="915"/>
      <c r="H10" s="915"/>
      <c r="I10" s="915"/>
    </row>
    <row r="11" spans="1:9" ht="15.05">
      <c r="A11" s="900" t="str">
        <f>Koptame!B14</f>
        <v>Pasūtījuma Nr.</v>
      </c>
      <c r="B11" s="900"/>
      <c r="C11" s="98" t="str">
        <f>Koptame!C14</f>
        <v>2016-04</v>
      </c>
      <c r="D11" s="73"/>
      <c r="F11" s="74"/>
      <c r="G11" s="74"/>
      <c r="H11" s="74"/>
      <c r="I11" s="74"/>
    </row>
    <row r="12" spans="1:9" ht="15.05" customHeight="1">
      <c r="A12" s="163"/>
      <c r="B12" s="163"/>
      <c r="C12" s="73"/>
      <c r="D12" s="73"/>
      <c r="F12" s="74"/>
      <c r="G12" s="74"/>
      <c r="H12" s="74"/>
      <c r="I12" s="74"/>
    </row>
    <row r="13" spans="1:9" ht="18" customHeight="1">
      <c r="A13" s="75"/>
      <c r="F13" s="907" t="s">
        <v>63</v>
      </c>
      <c r="G13" s="908"/>
      <c r="H13" s="70">
        <f>E27</f>
        <v>305810.8899999999</v>
      </c>
      <c r="I13" s="71"/>
    </row>
    <row r="14" spans="1:9" ht="17.7">
      <c r="A14" s="75"/>
      <c r="F14" s="907" t="s">
        <v>14</v>
      </c>
      <c r="G14" s="908"/>
      <c r="H14" s="70">
        <f>I23</f>
        <v>9543.5300000000007</v>
      </c>
      <c r="I14" s="71"/>
    </row>
    <row r="15" spans="1:9" ht="14.4">
      <c r="G15" s="12" t="str">
        <f>Koptame!D16</f>
        <v>Tāme sastādīta:  2018.gada 19. februāris</v>
      </c>
    </row>
    <row r="16" spans="1:9" ht="14.4">
      <c r="G16" s="12"/>
    </row>
    <row r="17" spans="1:9" ht="15.05">
      <c r="A17" s="76"/>
    </row>
    <row r="18" spans="1:9" ht="51.05" customHeight="1">
      <c r="A18" s="901" t="s">
        <v>15</v>
      </c>
      <c r="B18" s="901" t="s">
        <v>16</v>
      </c>
      <c r="C18" s="902" t="s">
        <v>96</v>
      </c>
      <c r="D18" s="903"/>
      <c r="E18" s="901" t="s">
        <v>64</v>
      </c>
      <c r="F18" s="901" t="s">
        <v>17</v>
      </c>
      <c r="G18" s="901"/>
      <c r="H18" s="901"/>
      <c r="I18" s="901" t="s">
        <v>18</v>
      </c>
    </row>
    <row r="19" spans="1:9" ht="40.75" customHeight="1">
      <c r="A19" s="901"/>
      <c r="B19" s="901"/>
      <c r="C19" s="904"/>
      <c r="D19" s="905"/>
      <c r="E19" s="901"/>
      <c r="F19" s="162" t="s">
        <v>65</v>
      </c>
      <c r="G19" s="162" t="s">
        <v>66</v>
      </c>
      <c r="H19" s="162" t="s">
        <v>67</v>
      </c>
      <c r="I19" s="901"/>
    </row>
    <row r="20" spans="1:9" ht="17.7">
      <c r="A20" s="77"/>
      <c r="B20" s="78"/>
      <c r="C20" s="917"/>
      <c r="D20" s="918"/>
      <c r="E20" s="78"/>
      <c r="F20" s="78"/>
      <c r="G20" s="78"/>
      <c r="H20" s="78"/>
      <c r="I20" s="79"/>
    </row>
    <row r="21" spans="1:9" ht="13.1">
      <c r="A21" s="80">
        <v>1</v>
      </c>
      <c r="B21" s="81" t="s">
        <v>69</v>
      </c>
      <c r="C21" s="912" t="s">
        <v>50</v>
      </c>
      <c r="D21" s="913"/>
      <c r="E21" s="64">
        <f>'4,1'!P90</f>
        <v>273045.43999999989</v>
      </c>
      <c r="F21" s="64">
        <f>'4,1'!M90</f>
        <v>90933.369999999981</v>
      </c>
      <c r="G21" s="64">
        <f>'4,1'!N90</f>
        <v>135905.25</v>
      </c>
      <c r="H21" s="64">
        <f>'4,1'!O90</f>
        <v>46206.820000000007</v>
      </c>
      <c r="I21" s="65">
        <f>'4,1'!L90</f>
        <v>9543.5300000000007</v>
      </c>
    </row>
    <row r="22" spans="1:9" ht="13.1">
      <c r="A22" s="83"/>
      <c r="B22" s="84"/>
      <c r="C22" s="910"/>
      <c r="D22" s="911"/>
      <c r="E22" s="82"/>
      <c r="F22" s="82"/>
      <c r="G22" s="82"/>
      <c r="H22" s="82"/>
      <c r="I22" s="85"/>
    </row>
    <row r="23" spans="1:9" ht="16.55" customHeight="1">
      <c r="A23" s="161"/>
      <c r="B23" s="161"/>
      <c r="C23" s="86" t="s">
        <v>19</v>
      </c>
      <c r="D23" s="86"/>
      <c r="E23" s="87">
        <f>SUM(E21:E22)</f>
        <v>273045.43999999989</v>
      </c>
      <c r="F23" s="87">
        <f>SUM(F21:F22)</f>
        <v>90933.369999999981</v>
      </c>
      <c r="G23" s="87">
        <f>SUM(G21:G22)</f>
        <v>135905.25</v>
      </c>
      <c r="H23" s="87">
        <f>SUM(H21:H22)</f>
        <v>46206.820000000007</v>
      </c>
      <c r="I23" s="87">
        <f>SUM(I21:I22)</f>
        <v>9543.5300000000007</v>
      </c>
    </row>
    <row r="24" spans="1:9" ht="15.05">
      <c r="A24" s="916" t="s">
        <v>42</v>
      </c>
      <c r="B24" s="916"/>
      <c r="C24" s="916"/>
      <c r="D24" s="88">
        <f>kops1!$D$34</f>
        <v>7.0000000000000007E-2</v>
      </c>
      <c r="E24" s="89">
        <f>ROUND(E23*D24,2)</f>
        <v>19113.18</v>
      </c>
    </row>
    <row r="25" spans="1:9" ht="15.75">
      <c r="A25" s="160"/>
      <c r="B25" s="160"/>
      <c r="C25" s="143" t="s">
        <v>53</v>
      </c>
      <c r="D25" s="88"/>
      <c r="E25" s="89">
        <f>E24*0.1</f>
        <v>1911.3180000000002</v>
      </c>
    </row>
    <row r="26" spans="1:9" ht="15.05">
      <c r="A26" s="916" t="s">
        <v>28</v>
      </c>
      <c r="B26" s="916"/>
      <c r="C26" s="916"/>
      <c r="D26" s="88">
        <f>kops1!$D$36</f>
        <v>0.05</v>
      </c>
      <c r="E26" s="89">
        <f>ROUND(E23*D26,2)</f>
        <v>13652.27</v>
      </c>
    </row>
    <row r="27" spans="1:9" ht="18" customHeight="1">
      <c r="A27" s="914"/>
      <c r="B27" s="914"/>
      <c r="C27" s="86" t="s">
        <v>20</v>
      </c>
      <c r="D27" s="86"/>
      <c r="E27" s="90">
        <f>E26+E24+E23</f>
        <v>305810.8899999999</v>
      </c>
    </row>
    <row r="28" spans="1:9" ht="17.7">
      <c r="A28" s="91"/>
    </row>
    <row r="29" spans="1:9" ht="17.7">
      <c r="A29" s="91"/>
    </row>
    <row r="30" spans="1:9" ht="14.4">
      <c r="A30" s="92"/>
      <c r="B30" s="2" t="s">
        <v>8</v>
      </c>
      <c r="C30" s="3"/>
      <c r="F30" s="74"/>
    </row>
    <row r="31" spans="1:9" ht="14.4">
      <c r="A31" s="74"/>
      <c r="B31" s="3"/>
      <c r="C31" s="164" t="str">
        <f>Koptame!C34</f>
        <v>Arnis Gailītis</v>
      </c>
      <c r="D31" s="93"/>
      <c r="E31" s="93"/>
      <c r="F31" s="74"/>
    </row>
    <row r="32" spans="1:9" ht="14.4">
      <c r="A32" s="94"/>
      <c r="B32" s="2"/>
      <c r="C32" s="165" t="str">
        <f>Koptame!C35</f>
        <v>Sertifikāta Nr.20-5643</v>
      </c>
      <c r="D32" s="74"/>
      <c r="E32" s="74"/>
      <c r="F32" s="74"/>
    </row>
    <row r="33" spans="2:3" ht="14.4">
      <c r="B33" s="2"/>
      <c r="C33" s="165"/>
    </row>
    <row r="34" spans="2:3" ht="14.4">
      <c r="B34" s="2"/>
      <c r="C34" s="165"/>
    </row>
    <row r="35" spans="2:3" ht="14.4">
      <c r="B35" s="4"/>
      <c r="C35" s="1"/>
    </row>
    <row r="36" spans="2:3" ht="14.4">
      <c r="B36" s="2" t="str">
        <f>Koptame!B39</f>
        <v>Pārbaudīja:</v>
      </c>
      <c r="C36" s="124"/>
    </row>
    <row r="37" spans="2:3" ht="14.4">
      <c r="B37" s="3"/>
      <c r="C37" s="164" t="str">
        <f>Koptame!C40</f>
        <v>Dzintra Cīrule</v>
      </c>
    </row>
    <row r="38" spans="2:3" ht="14.4">
      <c r="B38" s="2"/>
      <c r="C38" s="165" t="str">
        <f>Koptame!C41</f>
        <v>Sertifikāta Nr.10-0363</v>
      </c>
    </row>
  </sheetData>
  <mergeCells count="23">
    <mergeCell ref="A26:C26"/>
    <mergeCell ref="A27:B27"/>
    <mergeCell ref="C22:D22"/>
    <mergeCell ref="A24:C24"/>
    <mergeCell ref="I18:I19"/>
    <mergeCell ref="C20:D20"/>
    <mergeCell ref="C21:D21"/>
    <mergeCell ref="A18:A19"/>
    <mergeCell ref="B18:B19"/>
    <mergeCell ref="C18:D19"/>
    <mergeCell ref="E18:E19"/>
    <mergeCell ref="F18:H18"/>
    <mergeCell ref="A10:B10"/>
    <mergeCell ref="C10:I10"/>
    <mergeCell ref="A11:B11"/>
    <mergeCell ref="F13:G13"/>
    <mergeCell ref="F14:G14"/>
    <mergeCell ref="A2:I2"/>
    <mergeCell ref="A6:I6"/>
    <mergeCell ref="A8:B8"/>
    <mergeCell ref="C8:I8"/>
    <mergeCell ref="A9:B9"/>
    <mergeCell ref="C9:I9"/>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100"/>
  <sheetViews>
    <sheetView showZeros="0" view="pageBreakPreview" topLeftCell="A46" zoomScaleNormal="80" zoomScaleSheetLayoutView="100" workbookViewId="0">
      <selection activeCell="L23" sqref="L23"/>
    </sheetView>
  </sheetViews>
  <sheetFormatPr defaultColWidth="9.125" defaultRowHeight="14.4"/>
  <cols>
    <col min="1" max="1" width="9" style="19" customWidth="1"/>
    <col min="2" max="2" width="9.375" style="56" customWidth="1"/>
    <col min="3" max="3" width="40.25" style="19" customWidth="1"/>
    <col min="4" max="4" width="8.125" style="19" customWidth="1"/>
    <col min="5" max="5" width="9.125" style="19"/>
    <col min="6" max="7" width="9.125" style="56"/>
    <col min="8" max="11" width="9.125" style="19"/>
    <col min="12" max="12" width="14.375" style="19" customWidth="1"/>
    <col min="13" max="13" width="12.25" style="19" customWidth="1"/>
    <col min="14" max="14" width="12.75" style="19" customWidth="1"/>
    <col min="15" max="15" width="11.625" style="19" customWidth="1"/>
    <col min="16" max="16" width="14.875" style="19" customWidth="1"/>
    <col min="17" max="16384" width="9.125" style="19"/>
  </cols>
  <sheetData>
    <row r="1" spans="1:16" s="24" customFormat="1">
      <c r="B1" s="53"/>
      <c r="E1" s="21"/>
      <c r="F1" s="118"/>
      <c r="G1" s="181" t="s">
        <v>92</v>
      </c>
      <c r="H1" s="121" t="str">
        <f>kops4!B21</f>
        <v>4,1</v>
      </c>
    </row>
    <row r="2" spans="1:16" s="24" customFormat="1">
      <c r="A2" s="919" t="str">
        <f>C13</f>
        <v>Teritorijas labiekārtošana</v>
      </c>
      <c r="B2" s="919"/>
      <c r="C2" s="919"/>
      <c r="D2" s="919"/>
      <c r="E2" s="919"/>
      <c r="F2" s="919"/>
      <c r="G2" s="919"/>
      <c r="H2" s="919"/>
      <c r="I2" s="919"/>
      <c r="J2" s="919"/>
      <c r="K2" s="919"/>
      <c r="L2" s="919"/>
      <c r="M2" s="919"/>
      <c r="N2" s="919"/>
      <c r="O2" s="919"/>
      <c r="P2" s="919"/>
    </row>
    <row r="3" spans="1:16">
      <c r="A3" s="20"/>
      <c r="B3" s="112"/>
      <c r="C3" s="20" t="s">
        <v>11</v>
      </c>
      <c r="D3" s="921" t="str">
        <f>Koptame!C11</f>
        <v>Ražošanas ēka</v>
      </c>
      <c r="E3" s="921"/>
      <c r="F3" s="921"/>
      <c r="G3" s="921"/>
      <c r="H3" s="921"/>
      <c r="I3" s="921"/>
      <c r="J3" s="921"/>
      <c r="K3" s="921"/>
      <c r="L3" s="921"/>
      <c r="M3" s="921"/>
      <c r="N3" s="921"/>
      <c r="O3" s="921"/>
      <c r="P3" s="921"/>
    </row>
    <row r="4" spans="1:16">
      <c r="A4" s="20"/>
      <c r="B4" s="112"/>
      <c r="C4" s="20" t="s">
        <v>12</v>
      </c>
      <c r="D4" s="921" t="str">
        <f>Koptame!C12</f>
        <v>Ražošanas ēkas Nr.7 jaunbūve</v>
      </c>
      <c r="E4" s="921"/>
      <c r="F4" s="921"/>
      <c r="G4" s="921"/>
      <c r="H4" s="921"/>
      <c r="I4" s="921"/>
      <c r="J4" s="921"/>
      <c r="K4" s="921"/>
      <c r="L4" s="921"/>
      <c r="M4" s="921"/>
      <c r="N4" s="921"/>
      <c r="O4" s="921"/>
      <c r="P4" s="921"/>
    </row>
    <row r="5" spans="1:16">
      <c r="A5" s="20"/>
      <c r="B5" s="112"/>
      <c r="C5" s="20" t="s">
        <v>13</v>
      </c>
      <c r="D5" s="921" t="str">
        <f>Koptame!C13</f>
        <v>Ventspils, Ventspils Augsto tehnoloģiju parks</v>
      </c>
      <c r="E5" s="921"/>
      <c r="F5" s="921"/>
      <c r="G5" s="921"/>
      <c r="H5" s="921"/>
      <c r="I5" s="921"/>
      <c r="J5" s="921"/>
      <c r="K5" s="921"/>
      <c r="L5" s="921"/>
      <c r="M5" s="921"/>
      <c r="N5" s="921"/>
      <c r="O5" s="921"/>
      <c r="P5" s="921"/>
    </row>
    <row r="6" spans="1:16">
      <c r="A6" s="20"/>
      <c r="B6" s="112"/>
      <c r="C6" s="20" t="str">
        <f>Koptame!B14</f>
        <v>Pasūtījuma Nr.</v>
      </c>
      <c r="D6" s="22" t="str">
        <f>Koptame!C14</f>
        <v>2016-04</v>
      </c>
      <c r="E6" s="43"/>
      <c r="F6" s="54"/>
      <c r="G6" s="54"/>
      <c r="H6" s="43"/>
      <c r="I6" s="43"/>
      <c r="J6" s="43"/>
      <c r="K6" s="43"/>
      <c r="L6" s="43"/>
      <c r="M6" s="43"/>
      <c r="N6" s="43"/>
      <c r="O6" s="43"/>
      <c r="P6" s="25"/>
    </row>
    <row r="7" spans="1:16">
      <c r="A7" s="3" t="str">
        <f>Koptame!B17</f>
        <v>Tāme sastādīta 2018.gada tirgus cenās, pamatojoties uz SIA „Baltex Group” būvprojekta rasējumiem un darbu apjomiem</v>
      </c>
      <c r="B7" s="113"/>
      <c r="D7" s="22"/>
      <c r="E7" s="22"/>
      <c r="F7" s="55"/>
      <c r="G7" s="55"/>
      <c r="H7" s="22"/>
      <c r="I7" s="22"/>
      <c r="J7" s="22"/>
      <c r="K7" s="43"/>
      <c r="L7" s="43"/>
      <c r="M7" s="43"/>
      <c r="N7" s="43"/>
      <c r="O7" s="20" t="s">
        <v>87</v>
      </c>
      <c r="P7" s="26">
        <f>P90</f>
        <v>273045.43999999989</v>
      </c>
    </row>
    <row r="8" spans="1:16">
      <c r="A8" s="23"/>
      <c r="B8" s="112"/>
      <c r="D8" s="27"/>
      <c r="E8" s="43"/>
      <c r="F8" s="54"/>
      <c r="G8" s="54"/>
      <c r="H8" s="43"/>
      <c r="I8" s="43"/>
      <c r="J8" s="43"/>
      <c r="K8" s="43"/>
      <c r="N8" s="43"/>
      <c r="O8" s="43"/>
      <c r="P8" s="25"/>
    </row>
    <row r="9" spans="1:16" ht="15.05" customHeight="1">
      <c r="A9" s="45"/>
      <c r="B9" s="114"/>
      <c r="J9" s="44"/>
      <c r="K9" s="44"/>
      <c r="L9" s="920" t="str">
        <f>Koptame!D16</f>
        <v>Tāme sastādīta:  2018.gada 19. februāris</v>
      </c>
      <c r="M9" s="920"/>
      <c r="N9" s="920"/>
      <c r="O9" s="920"/>
      <c r="P9" s="44"/>
    </row>
    <row r="10" spans="1:16" ht="15.05">
      <c r="A10" s="45"/>
      <c r="B10" s="114"/>
    </row>
    <row r="11" spans="1:16" ht="14.25" customHeight="1">
      <c r="A11" s="927" t="s">
        <v>15</v>
      </c>
      <c r="B11" s="928" t="s">
        <v>21</v>
      </c>
      <c r="C11" s="930" t="s">
        <v>97</v>
      </c>
      <c r="D11" s="931" t="s">
        <v>22</v>
      </c>
      <c r="E11" s="927" t="s">
        <v>23</v>
      </c>
      <c r="F11" s="924" t="s">
        <v>24</v>
      </c>
      <c r="G11" s="924"/>
      <c r="H11" s="924"/>
      <c r="I11" s="924"/>
      <c r="J11" s="924"/>
      <c r="K11" s="924"/>
      <c r="L11" s="924" t="s">
        <v>25</v>
      </c>
      <c r="M11" s="924"/>
      <c r="N11" s="924"/>
      <c r="O11" s="924"/>
      <c r="P11" s="924"/>
    </row>
    <row r="12" spans="1:16" ht="73.5" customHeight="1">
      <c r="A12" s="927"/>
      <c r="B12" s="929"/>
      <c r="C12" s="930"/>
      <c r="D12" s="931"/>
      <c r="E12" s="927"/>
      <c r="F12" s="166" t="s">
        <v>26</v>
      </c>
      <c r="G12" s="166" t="s">
        <v>58</v>
      </c>
      <c r="H12" s="166" t="s">
        <v>59</v>
      </c>
      <c r="I12" s="187" t="s">
        <v>95</v>
      </c>
      <c r="J12" s="166" t="s">
        <v>60</v>
      </c>
      <c r="K12" s="166" t="s">
        <v>61</v>
      </c>
      <c r="L12" s="166" t="s">
        <v>18</v>
      </c>
      <c r="M12" s="166" t="s">
        <v>59</v>
      </c>
      <c r="N12" s="187" t="s">
        <v>95</v>
      </c>
      <c r="O12" s="166" t="s">
        <v>60</v>
      </c>
      <c r="P12" s="166" t="s">
        <v>62</v>
      </c>
    </row>
    <row r="13" spans="1:16" ht="15.05">
      <c r="A13" s="28"/>
      <c r="B13" s="96"/>
      <c r="C13" s="13" t="str">
        <f>kops4!C21</f>
        <v>Teritorijas labiekārtošana</v>
      </c>
      <c r="D13" s="14"/>
      <c r="E13" s="15"/>
      <c r="F13" s="59"/>
      <c r="G13" s="31"/>
      <c r="H13" s="31"/>
      <c r="I13" s="29"/>
      <c r="J13" s="29"/>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400" customFormat="1" ht="15.05">
      <c r="A14" s="394"/>
      <c r="B14" s="115"/>
      <c r="C14" s="395" t="s">
        <v>1041</v>
      </c>
      <c r="D14" s="396"/>
      <c r="E14" s="397"/>
      <c r="F14" s="398"/>
      <c r="G14" s="398"/>
      <c r="H14" s="399">
        <f t="shared" ref="H14" si="6">G14*F14</f>
        <v>0</v>
      </c>
      <c r="I14" s="399"/>
      <c r="J14" s="399"/>
      <c r="K14" s="102">
        <f>SUM(H14:J14)</f>
        <v>0</v>
      </c>
      <c r="L14" s="50">
        <f>ROUND(F14*E14,2)</f>
        <v>0</v>
      </c>
      <c r="M14" s="102">
        <f>ROUND(H14*E14,2)</f>
        <v>0</v>
      </c>
      <c r="N14" s="102">
        <f>ROUND(I14*E14,2)</f>
        <v>0</v>
      </c>
      <c r="O14" s="102">
        <f>ROUND(J14*E14,2)</f>
        <v>0</v>
      </c>
      <c r="P14" s="103">
        <f>SUM(M14:O14)</f>
        <v>0</v>
      </c>
    </row>
    <row r="15" spans="1:16" s="400" customFormat="1" ht="32.25" customHeight="1">
      <c r="A15" s="401">
        <v>1</v>
      </c>
      <c r="B15" s="402"/>
      <c r="C15" s="408" t="s">
        <v>1042</v>
      </c>
      <c r="D15" s="403" t="s">
        <v>136</v>
      </c>
      <c r="E15" s="683">
        <v>1</v>
      </c>
      <c r="F15" s="434">
        <v>250</v>
      </c>
      <c r="G15" s="434">
        <v>8.9</v>
      </c>
      <c r="H15" s="576">
        <f>ROUND(G15*F15,2)</f>
        <v>2225</v>
      </c>
      <c r="I15" s="576">
        <v>306</v>
      </c>
      <c r="J15" s="576">
        <v>162</v>
      </c>
      <c r="K15" s="102">
        <f t="shared" ref="K15:K16" si="7">SUM(H15:J15)</f>
        <v>2693</v>
      </c>
      <c r="L15" s="50">
        <f t="shared" ref="L15:L16" si="8">ROUND(F15*E15,2)</f>
        <v>250</v>
      </c>
      <c r="M15" s="102">
        <f t="shared" ref="M15:M16" si="9">ROUND(H15*E15,2)</f>
        <v>2225</v>
      </c>
      <c r="N15" s="102">
        <f t="shared" ref="N15:N16" si="10">ROUND(I15*E15,2)</f>
        <v>306</v>
      </c>
      <c r="O15" s="102">
        <f t="shared" ref="O15:O16" si="11">ROUND(J15*E15,2)</f>
        <v>162</v>
      </c>
      <c r="P15" s="103">
        <f t="shared" ref="P15:P16" si="12">SUM(M15:O15)</f>
        <v>2693</v>
      </c>
    </row>
    <row r="16" spans="1:16" s="400" customFormat="1" ht="24.9">
      <c r="A16" s="401">
        <v>2</v>
      </c>
      <c r="B16" s="402"/>
      <c r="C16" s="408" t="s">
        <v>1062</v>
      </c>
      <c r="D16" s="403" t="s">
        <v>721</v>
      </c>
      <c r="E16" s="683">
        <v>1</v>
      </c>
      <c r="F16" s="434">
        <v>25</v>
      </c>
      <c r="G16" s="434">
        <v>8.9</v>
      </c>
      <c r="H16" s="576">
        <f t="shared" ref="H16" si="13">ROUND(G16*F16,2)</f>
        <v>222.5</v>
      </c>
      <c r="I16" s="576">
        <v>0</v>
      </c>
      <c r="J16" s="576">
        <v>500</v>
      </c>
      <c r="K16" s="102">
        <f t="shared" si="7"/>
        <v>722.5</v>
      </c>
      <c r="L16" s="50">
        <f t="shared" si="8"/>
        <v>25</v>
      </c>
      <c r="M16" s="102">
        <f t="shared" si="9"/>
        <v>222.5</v>
      </c>
      <c r="N16" s="102">
        <f t="shared" si="10"/>
        <v>0</v>
      </c>
      <c r="O16" s="102">
        <f t="shared" si="11"/>
        <v>500</v>
      </c>
      <c r="P16" s="103">
        <f t="shared" si="12"/>
        <v>722.5</v>
      </c>
    </row>
    <row r="17" spans="1:16" s="400" customFormat="1" ht="15.05">
      <c r="A17" s="401"/>
      <c r="B17" s="402"/>
      <c r="C17" s="395" t="s">
        <v>1043</v>
      </c>
      <c r="D17" s="403"/>
      <c r="E17" s="683"/>
      <c r="F17" s="434"/>
      <c r="G17" s="434"/>
      <c r="H17" s="576">
        <f t="shared" ref="H17:H20" si="14">ROUND(G17*F17,2)</f>
        <v>0</v>
      </c>
      <c r="I17" s="576">
        <v>0</v>
      </c>
      <c r="J17" s="576">
        <v>0</v>
      </c>
      <c r="K17" s="102">
        <f t="shared" ref="K17:K56" si="15">SUM(H17:J17)</f>
        <v>0</v>
      </c>
      <c r="L17" s="50">
        <f t="shared" ref="L17:L71" si="16">ROUND(F17*E17,2)</f>
        <v>0</v>
      </c>
      <c r="M17" s="102">
        <f t="shared" ref="M17:M71" si="17">ROUND(H17*E17,2)</f>
        <v>0</v>
      </c>
      <c r="N17" s="102">
        <f t="shared" ref="N17:N71" si="18">ROUND(I17*E17,2)</f>
        <v>0</v>
      </c>
      <c r="O17" s="102">
        <f t="shared" ref="O17:O71" si="19">ROUND(J17*E17,2)</f>
        <v>0</v>
      </c>
      <c r="P17" s="103">
        <f t="shared" ref="P17:P71" si="20">SUM(M17:O17)</f>
        <v>0</v>
      </c>
    </row>
    <row r="18" spans="1:16" s="400" customFormat="1" ht="24.9">
      <c r="A18" s="404">
        <v>3</v>
      </c>
      <c r="B18" s="402"/>
      <c r="C18" s="405" t="s">
        <v>1044</v>
      </c>
      <c r="D18" s="406" t="s">
        <v>29</v>
      </c>
      <c r="E18" s="684">
        <f>E22+E34+E73+E28</f>
        <v>5389</v>
      </c>
      <c r="F18" s="434">
        <v>0.2</v>
      </c>
      <c r="G18" s="434">
        <v>8.8000000000000007</v>
      </c>
      <c r="H18" s="576">
        <f t="shared" si="14"/>
        <v>1.76</v>
      </c>
      <c r="I18" s="576">
        <v>0</v>
      </c>
      <c r="J18" s="576">
        <v>2.75</v>
      </c>
      <c r="K18" s="102">
        <f t="shared" si="15"/>
        <v>4.51</v>
      </c>
      <c r="L18" s="50">
        <f t="shared" si="16"/>
        <v>1077.8</v>
      </c>
      <c r="M18" s="102">
        <f t="shared" si="17"/>
        <v>9484.64</v>
      </c>
      <c r="N18" s="102">
        <f t="shared" si="18"/>
        <v>0</v>
      </c>
      <c r="O18" s="102">
        <f t="shared" si="19"/>
        <v>14819.75</v>
      </c>
      <c r="P18" s="103">
        <f t="shared" si="20"/>
        <v>24304.39</v>
      </c>
    </row>
    <row r="19" spans="1:16" s="400" customFormat="1">
      <c r="A19" s="404">
        <v>4</v>
      </c>
      <c r="B19" s="402"/>
      <c r="C19" s="405" t="s">
        <v>1045</v>
      </c>
      <c r="D19" s="406" t="s">
        <v>29</v>
      </c>
      <c r="E19" s="684">
        <f>E18</f>
        <v>5389</v>
      </c>
      <c r="F19" s="434">
        <v>0.05</v>
      </c>
      <c r="G19" s="434">
        <v>8.8000000000000007</v>
      </c>
      <c r="H19" s="576">
        <f t="shared" si="14"/>
        <v>0.44</v>
      </c>
      <c r="I19" s="576">
        <v>0</v>
      </c>
      <c r="J19" s="576">
        <v>0.28800000000000003</v>
      </c>
      <c r="K19" s="102">
        <f t="shared" si="15"/>
        <v>0.72799999999999998</v>
      </c>
      <c r="L19" s="50">
        <f t="shared" si="16"/>
        <v>269.45</v>
      </c>
      <c r="M19" s="102">
        <f t="shared" si="17"/>
        <v>2371.16</v>
      </c>
      <c r="N19" s="102">
        <f t="shared" si="18"/>
        <v>0</v>
      </c>
      <c r="O19" s="102">
        <f t="shared" si="19"/>
        <v>1552.03</v>
      </c>
      <c r="P19" s="103">
        <f t="shared" si="20"/>
        <v>3923.1899999999996</v>
      </c>
    </row>
    <row r="20" spans="1:16" s="400" customFormat="1" ht="15.05">
      <c r="A20" s="401"/>
      <c r="B20" s="402"/>
      <c r="C20" s="395" t="s">
        <v>1046</v>
      </c>
      <c r="D20" s="403"/>
      <c r="E20" s="683"/>
      <c r="F20" s="434"/>
      <c r="G20" s="434"/>
      <c r="H20" s="576">
        <f t="shared" si="14"/>
        <v>0</v>
      </c>
      <c r="I20" s="576">
        <v>0</v>
      </c>
      <c r="J20" s="576">
        <v>0</v>
      </c>
      <c r="K20" s="102">
        <f t="shared" si="15"/>
        <v>0</v>
      </c>
      <c r="L20" s="50">
        <f t="shared" si="16"/>
        <v>0</v>
      </c>
      <c r="M20" s="102">
        <f t="shared" si="17"/>
        <v>0</v>
      </c>
      <c r="N20" s="102">
        <f t="shared" si="18"/>
        <v>0</v>
      </c>
      <c r="O20" s="102">
        <f t="shared" si="19"/>
        <v>0</v>
      </c>
      <c r="P20" s="103">
        <f t="shared" si="20"/>
        <v>0</v>
      </c>
    </row>
    <row r="21" spans="1:16" s="400" customFormat="1" ht="37" customHeight="1">
      <c r="A21" s="401"/>
      <c r="B21" s="402"/>
      <c r="C21" s="407" t="s">
        <v>1078</v>
      </c>
      <c r="D21" s="403"/>
      <c r="E21" s="683"/>
      <c r="F21" s="434"/>
      <c r="G21" s="434"/>
      <c r="H21" s="576"/>
      <c r="I21" s="576">
        <v>0</v>
      </c>
      <c r="J21" s="576">
        <v>0</v>
      </c>
      <c r="K21" s="102">
        <f t="shared" si="15"/>
        <v>0</v>
      </c>
      <c r="L21" s="50">
        <f t="shared" si="16"/>
        <v>0</v>
      </c>
      <c r="M21" s="102">
        <f t="shared" si="17"/>
        <v>0</v>
      </c>
      <c r="N21" s="102">
        <f t="shared" si="18"/>
        <v>0</v>
      </c>
      <c r="O21" s="102">
        <f t="shared" si="19"/>
        <v>0</v>
      </c>
      <c r="P21" s="103">
        <f t="shared" si="20"/>
        <v>0</v>
      </c>
    </row>
    <row r="22" spans="1:16" s="400" customFormat="1" ht="15.05">
      <c r="A22" s="401">
        <v>5</v>
      </c>
      <c r="B22" s="402"/>
      <c r="C22" s="408" t="s">
        <v>1084</v>
      </c>
      <c r="D22" s="403" t="s">
        <v>29</v>
      </c>
      <c r="E22" s="683">
        <v>3503</v>
      </c>
      <c r="F22" s="434">
        <f>0.9*0.04</f>
        <v>3.6000000000000004E-2</v>
      </c>
      <c r="G22" s="434">
        <v>9.6999999999999993</v>
      </c>
      <c r="H22" s="576">
        <f>ROUND(G22*F22,2)</f>
        <v>0.35</v>
      </c>
      <c r="I22" s="576">
        <v>0.77</v>
      </c>
      <c r="J22" s="576">
        <f>3*0.04</f>
        <v>0.12</v>
      </c>
      <c r="K22" s="102">
        <f t="shared" si="15"/>
        <v>1.2400000000000002</v>
      </c>
      <c r="L22" s="50">
        <f t="shared" si="16"/>
        <v>126.11</v>
      </c>
      <c r="M22" s="102">
        <f t="shared" si="17"/>
        <v>1226.05</v>
      </c>
      <c r="N22" s="102">
        <f t="shared" si="18"/>
        <v>2697.31</v>
      </c>
      <c r="O22" s="102">
        <f t="shared" si="19"/>
        <v>420.36</v>
      </c>
      <c r="P22" s="103">
        <f t="shared" si="20"/>
        <v>4343.7199999999993</v>
      </c>
    </row>
    <row r="23" spans="1:16" s="400" customFormat="1" ht="15.05">
      <c r="A23" s="401">
        <v>6</v>
      </c>
      <c r="B23" s="402"/>
      <c r="C23" s="408" t="s">
        <v>1083</v>
      </c>
      <c r="D23" s="403" t="s">
        <v>29</v>
      </c>
      <c r="E23" s="683">
        <f>E22</f>
        <v>3503</v>
      </c>
      <c r="F23" s="434">
        <v>0.08</v>
      </c>
      <c r="G23" s="434">
        <v>9.6999999999999993</v>
      </c>
      <c r="H23" s="576">
        <f>ROUND(G23*F23,2)</f>
        <v>0.78</v>
      </c>
      <c r="I23" s="576">
        <v>4.63</v>
      </c>
      <c r="J23" s="576">
        <f>3*0.04</f>
        <v>0.12</v>
      </c>
      <c r="K23" s="102">
        <f t="shared" ref="K23" si="21">SUM(H23:J23)</f>
        <v>5.53</v>
      </c>
      <c r="L23" s="50">
        <f t="shared" ref="L23" si="22">ROUND(F23*E23,2)</f>
        <v>280.24</v>
      </c>
      <c r="M23" s="102">
        <f t="shared" ref="M23" si="23">ROUND(H23*E23,2)</f>
        <v>2732.34</v>
      </c>
      <c r="N23" s="102">
        <f t="shared" ref="N23" si="24">ROUND(I23*E23,2)</f>
        <v>16218.89</v>
      </c>
      <c r="O23" s="102">
        <f t="shared" ref="O23" si="25">ROUND(J23*E23,2)</f>
        <v>420.36</v>
      </c>
      <c r="P23" s="103">
        <f t="shared" ref="P23" si="26">SUM(M23:O23)</f>
        <v>19371.59</v>
      </c>
    </row>
    <row r="24" spans="1:16" s="400" customFormat="1" ht="24.9">
      <c r="A24" s="401">
        <v>7</v>
      </c>
      <c r="B24" s="402"/>
      <c r="C24" s="408" t="s">
        <v>1082</v>
      </c>
      <c r="D24" s="403" t="s">
        <v>29</v>
      </c>
      <c r="E24" s="683">
        <f>E23</f>
        <v>3503</v>
      </c>
      <c r="F24" s="434">
        <v>0.33</v>
      </c>
      <c r="G24" s="434">
        <v>9.6999999999999993</v>
      </c>
      <c r="H24" s="576">
        <f>ROUND(G24*F24,2)</f>
        <v>3.2</v>
      </c>
      <c r="I24" s="576">
        <v>4.8</v>
      </c>
      <c r="J24" s="576">
        <v>2</v>
      </c>
      <c r="K24" s="102">
        <f t="shared" si="15"/>
        <v>10</v>
      </c>
      <c r="L24" s="50">
        <f t="shared" si="16"/>
        <v>1155.99</v>
      </c>
      <c r="M24" s="102">
        <f t="shared" si="17"/>
        <v>11209.6</v>
      </c>
      <c r="N24" s="102">
        <f t="shared" si="18"/>
        <v>16814.400000000001</v>
      </c>
      <c r="O24" s="102">
        <f t="shared" si="19"/>
        <v>7006</v>
      </c>
      <c r="P24" s="103">
        <f t="shared" si="20"/>
        <v>35030</v>
      </c>
    </row>
    <row r="25" spans="1:16" s="400" customFormat="1" ht="24.9">
      <c r="A25" s="401">
        <v>8</v>
      </c>
      <c r="B25" s="402"/>
      <c r="C25" s="408" t="s">
        <v>1596</v>
      </c>
      <c r="D25" s="403" t="s">
        <v>29</v>
      </c>
      <c r="E25" s="683">
        <f>E24</f>
        <v>3503</v>
      </c>
      <c r="F25" s="434">
        <v>0.17</v>
      </c>
      <c r="G25" s="434">
        <v>9.6999999999999993</v>
      </c>
      <c r="H25" s="576">
        <f>ROUND(G25*F25,2)</f>
        <v>1.65</v>
      </c>
      <c r="I25" s="576">
        <v>7.4</v>
      </c>
      <c r="J25" s="576">
        <v>2</v>
      </c>
      <c r="K25" s="102">
        <f t="shared" ref="K25:K30" si="27">SUM(H25:J25)</f>
        <v>11.05</v>
      </c>
      <c r="L25" s="50">
        <f t="shared" ref="L25:L30" si="28">ROUND(F25*E25,2)</f>
        <v>595.51</v>
      </c>
      <c r="M25" s="102">
        <f t="shared" ref="M25:M30" si="29">ROUND(H25*E25,2)</f>
        <v>5779.95</v>
      </c>
      <c r="N25" s="102">
        <f t="shared" ref="N25:N30" si="30">ROUND(I25*E25,2)</f>
        <v>25922.2</v>
      </c>
      <c r="O25" s="102">
        <f t="shared" ref="O25:O30" si="31">ROUND(J25*E25,2)</f>
        <v>7006</v>
      </c>
      <c r="P25" s="103">
        <f t="shared" ref="P25:P30" si="32">SUM(M25:O25)</f>
        <v>38708.15</v>
      </c>
    </row>
    <row r="26" spans="1:16" s="400" customFormat="1" ht="15.05">
      <c r="A26" s="401">
        <v>9</v>
      </c>
      <c r="B26" s="402"/>
      <c r="C26" s="408" t="s">
        <v>1081</v>
      </c>
      <c r="D26" s="403" t="s">
        <v>29</v>
      </c>
      <c r="E26" s="683">
        <f>E25</f>
        <v>3503</v>
      </c>
      <c r="F26" s="434">
        <v>0.06</v>
      </c>
      <c r="G26" s="434">
        <v>9.6999999999999993</v>
      </c>
      <c r="H26" s="576">
        <f>ROUND(G26*F26,2)</f>
        <v>0.57999999999999996</v>
      </c>
      <c r="I26" s="576">
        <v>0.6</v>
      </c>
      <c r="J26" s="576">
        <v>0.4</v>
      </c>
      <c r="K26" s="102">
        <f t="shared" si="27"/>
        <v>1.58</v>
      </c>
      <c r="L26" s="50">
        <f t="shared" si="28"/>
        <v>210.18</v>
      </c>
      <c r="M26" s="102">
        <f t="shared" si="29"/>
        <v>2031.74</v>
      </c>
      <c r="N26" s="102">
        <f t="shared" si="30"/>
        <v>2101.8000000000002</v>
      </c>
      <c r="O26" s="102">
        <f t="shared" si="31"/>
        <v>1401.2</v>
      </c>
      <c r="P26" s="103">
        <f t="shared" si="32"/>
        <v>5534.74</v>
      </c>
    </row>
    <row r="27" spans="1:16" s="400" customFormat="1" ht="37" customHeight="1">
      <c r="A27" s="401"/>
      <c r="B27" s="402"/>
      <c r="C27" s="407" t="s">
        <v>1594</v>
      </c>
      <c r="D27" s="403"/>
      <c r="E27" s="683"/>
      <c r="F27" s="434"/>
      <c r="G27" s="434"/>
      <c r="H27" s="576"/>
      <c r="I27" s="576">
        <v>0</v>
      </c>
      <c r="J27" s="576">
        <v>0</v>
      </c>
      <c r="K27" s="102">
        <f t="shared" si="27"/>
        <v>0</v>
      </c>
      <c r="L27" s="50">
        <f t="shared" si="28"/>
        <v>0</v>
      </c>
      <c r="M27" s="102">
        <f t="shared" si="29"/>
        <v>0</v>
      </c>
      <c r="N27" s="102">
        <f t="shared" si="30"/>
        <v>0</v>
      </c>
      <c r="O27" s="102">
        <f t="shared" si="31"/>
        <v>0</v>
      </c>
      <c r="P27" s="103">
        <f t="shared" si="32"/>
        <v>0</v>
      </c>
    </row>
    <row r="28" spans="1:16" s="400" customFormat="1" ht="15.05">
      <c r="A28" s="401">
        <v>10</v>
      </c>
      <c r="B28" s="402"/>
      <c r="C28" s="408" t="s">
        <v>1084</v>
      </c>
      <c r="D28" s="403" t="s">
        <v>29</v>
      </c>
      <c r="E28" s="683">
        <v>165</v>
      </c>
      <c r="F28" s="434">
        <f>0.9*0.04</f>
        <v>3.6000000000000004E-2</v>
      </c>
      <c r="G28" s="434">
        <v>9.6999999999999993</v>
      </c>
      <c r="H28" s="576">
        <f>ROUND(G28*F28,2)</f>
        <v>0.35</v>
      </c>
      <c r="I28" s="576">
        <v>0.77</v>
      </c>
      <c r="J28" s="576">
        <f>3*0.04</f>
        <v>0.12</v>
      </c>
      <c r="K28" s="102">
        <f t="shared" si="27"/>
        <v>1.2400000000000002</v>
      </c>
      <c r="L28" s="50">
        <f t="shared" si="28"/>
        <v>5.94</v>
      </c>
      <c r="M28" s="102">
        <f t="shared" si="29"/>
        <v>57.75</v>
      </c>
      <c r="N28" s="102">
        <f t="shared" si="30"/>
        <v>127.05</v>
      </c>
      <c r="O28" s="102">
        <f t="shared" si="31"/>
        <v>19.8</v>
      </c>
      <c r="P28" s="103">
        <f t="shared" si="32"/>
        <v>204.60000000000002</v>
      </c>
    </row>
    <row r="29" spans="1:16" s="400" customFormat="1" ht="15.05">
      <c r="A29" s="401">
        <v>11</v>
      </c>
      <c r="B29" s="402"/>
      <c r="C29" s="408" t="s">
        <v>1083</v>
      </c>
      <c r="D29" s="403" t="s">
        <v>29</v>
      </c>
      <c r="E29" s="683">
        <f>E28</f>
        <v>165</v>
      </c>
      <c r="F29" s="434">
        <v>0.08</v>
      </c>
      <c r="G29" s="434">
        <v>9.6999999999999993</v>
      </c>
      <c r="H29" s="576">
        <f>ROUND(G29*F29,2)</f>
        <v>0.78</v>
      </c>
      <c r="I29" s="576">
        <v>4.63</v>
      </c>
      <c r="J29" s="576">
        <f>3*0.04</f>
        <v>0.12</v>
      </c>
      <c r="K29" s="102">
        <f t="shared" si="27"/>
        <v>5.53</v>
      </c>
      <c r="L29" s="50">
        <f t="shared" si="28"/>
        <v>13.2</v>
      </c>
      <c r="M29" s="102">
        <f t="shared" si="29"/>
        <v>128.69999999999999</v>
      </c>
      <c r="N29" s="102">
        <f t="shared" si="30"/>
        <v>763.95</v>
      </c>
      <c r="O29" s="102">
        <f t="shared" si="31"/>
        <v>19.8</v>
      </c>
      <c r="P29" s="103">
        <f t="shared" si="32"/>
        <v>912.45</v>
      </c>
    </row>
    <row r="30" spans="1:16" s="400" customFormat="1" ht="24.9">
      <c r="A30" s="401">
        <v>12</v>
      </c>
      <c r="B30" s="402"/>
      <c r="C30" s="408" t="s">
        <v>1595</v>
      </c>
      <c r="D30" s="403" t="s">
        <v>29</v>
      </c>
      <c r="E30" s="683">
        <f>E29</f>
        <v>165</v>
      </c>
      <c r="F30" s="434">
        <v>0.3</v>
      </c>
      <c r="G30" s="434">
        <v>9.6999999999999993</v>
      </c>
      <c r="H30" s="576">
        <f>ROUND(G30*F30,2)</f>
        <v>2.91</v>
      </c>
      <c r="I30" s="576">
        <v>4.3</v>
      </c>
      <c r="J30" s="576">
        <v>1.9</v>
      </c>
      <c r="K30" s="102">
        <f t="shared" si="27"/>
        <v>9.11</v>
      </c>
      <c r="L30" s="50">
        <f t="shared" si="28"/>
        <v>49.5</v>
      </c>
      <c r="M30" s="102">
        <f t="shared" si="29"/>
        <v>480.15</v>
      </c>
      <c r="N30" s="102">
        <f t="shared" si="30"/>
        <v>709.5</v>
      </c>
      <c r="O30" s="102">
        <f t="shared" si="31"/>
        <v>313.5</v>
      </c>
      <c r="P30" s="103">
        <f t="shared" si="32"/>
        <v>1503.15</v>
      </c>
    </row>
    <row r="31" spans="1:16" s="400" customFormat="1" ht="24.9">
      <c r="A31" s="401">
        <v>13</v>
      </c>
      <c r="B31" s="402"/>
      <c r="C31" s="408" t="s">
        <v>1597</v>
      </c>
      <c r="D31" s="403" t="s">
        <v>29</v>
      </c>
      <c r="E31" s="683">
        <f>E30</f>
        <v>165</v>
      </c>
      <c r="F31" s="434">
        <v>0.1</v>
      </c>
      <c r="G31" s="434">
        <v>9.6999999999999993</v>
      </c>
      <c r="H31" s="576">
        <f>ROUND(G31*F31,2)</f>
        <v>0.97</v>
      </c>
      <c r="I31" s="576">
        <v>4.5999999999999996</v>
      </c>
      <c r="J31" s="576">
        <v>1.1499999999999999</v>
      </c>
      <c r="K31" s="102">
        <f t="shared" ref="K31:K32" si="33">SUM(H31:J31)</f>
        <v>6.7199999999999989</v>
      </c>
      <c r="L31" s="50">
        <f t="shared" ref="L31:L32" si="34">ROUND(F31*E31,2)</f>
        <v>16.5</v>
      </c>
      <c r="M31" s="102">
        <f t="shared" ref="M31:M32" si="35">ROUND(H31*E31,2)</f>
        <v>160.05000000000001</v>
      </c>
      <c r="N31" s="102">
        <f t="shared" ref="N31:N32" si="36">ROUND(I31*E31,2)</f>
        <v>759</v>
      </c>
      <c r="O31" s="102">
        <f t="shared" ref="O31:O32" si="37">ROUND(J31*E31,2)</f>
        <v>189.75</v>
      </c>
      <c r="P31" s="103">
        <f t="shared" ref="P31:P32" si="38">SUM(M31:O31)</f>
        <v>1108.8</v>
      </c>
    </row>
    <row r="32" spans="1:16" s="400" customFormat="1" ht="15.05">
      <c r="A32" s="401">
        <v>14</v>
      </c>
      <c r="B32" s="402"/>
      <c r="C32" s="408" t="s">
        <v>1081</v>
      </c>
      <c r="D32" s="403" t="s">
        <v>29</v>
      </c>
      <c r="E32" s="683">
        <f>E31</f>
        <v>165</v>
      </c>
      <c r="F32" s="434">
        <v>0.06</v>
      </c>
      <c r="G32" s="434">
        <v>9.6999999999999993</v>
      </c>
      <c r="H32" s="576">
        <f>ROUND(G32*F32,2)</f>
        <v>0.57999999999999996</v>
      </c>
      <c r="I32" s="576">
        <v>0.6</v>
      </c>
      <c r="J32" s="576">
        <v>0.4</v>
      </c>
      <c r="K32" s="102">
        <f t="shared" si="33"/>
        <v>1.58</v>
      </c>
      <c r="L32" s="50">
        <f t="shared" si="34"/>
        <v>9.9</v>
      </c>
      <c r="M32" s="102">
        <f t="shared" si="35"/>
        <v>95.7</v>
      </c>
      <c r="N32" s="102">
        <f t="shared" si="36"/>
        <v>99</v>
      </c>
      <c r="O32" s="102">
        <f t="shared" si="37"/>
        <v>66</v>
      </c>
      <c r="P32" s="103">
        <f t="shared" si="38"/>
        <v>260.7</v>
      </c>
    </row>
    <row r="33" spans="1:16" s="400" customFormat="1" ht="37" customHeight="1">
      <c r="A33" s="401"/>
      <c r="B33" s="402"/>
      <c r="C33" s="407" t="s">
        <v>1079</v>
      </c>
      <c r="D33" s="403"/>
      <c r="E33" s="683"/>
      <c r="F33" s="434"/>
      <c r="G33" s="434"/>
      <c r="H33" s="576"/>
      <c r="I33" s="576">
        <v>0</v>
      </c>
      <c r="J33" s="576">
        <v>0</v>
      </c>
      <c r="K33" s="102">
        <f t="shared" si="15"/>
        <v>0</v>
      </c>
      <c r="L33" s="50">
        <f t="shared" si="16"/>
        <v>0</v>
      </c>
      <c r="M33" s="102">
        <f t="shared" si="17"/>
        <v>0</v>
      </c>
      <c r="N33" s="102">
        <f t="shared" si="18"/>
        <v>0</v>
      </c>
      <c r="O33" s="102">
        <f t="shared" si="19"/>
        <v>0</v>
      </c>
      <c r="P33" s="103">
        <f t="shared" si="20"/>
        <v>0</v>
      </c>
    </row>
    <row r="34" spans="1:16" s="400" customFormat="1" ht="24.9">
      <c r="A34" s="401">
        <v>15</v>
      </c>
      <c r="B34" s="402"/>
      <c r="C34" s="408" t="s">
        <v>1047</v>
      </c>
      <c r="D34" s="403" t="s">
        <v>29</v>
      </c>
      <c r="E34" s="683">
        <f>318+63</f>
        <v>381</v>
      </c>
      <c r="F34" s="434">
        <v>0.22</v>
      </c>
      <c r="G34" s="434">
        <v>9.6999999999999993</v>
      </c>
      <c r="H34" s="576">
        <f>ROUND(G34*F34,2)</f>
        <v>2.13</v>
      </c>
      <c r="I34" s="576">
        <v>3.2</v>
      </c>
      <c r="J34" s="576">
        <v>1.3</v>
      </c>
      <c r="K34" s="102">
        <f t="shared" si="15"/>
        <v>6.63</v>
      </c>
      <c r="L34" s="50">
        <f t="shared" si="16"/>
        <v>83.82</v>
      </c>
      <c r="M34" s="102">
        <f t="shared" si="17"/>
        <v>811.53</v>
      </c>
      <c r="N34" s="102">
        <f t="shared" si="18"/>
        <v>1219.2</v>
      </c>
      <c r="O34" s="102">
        <f t="shared" si="19"/>
        <v>495.3</v>
      </c>
      <c r="P34" s="103">
        <f t="shared" si="20"/>
        <v>2526.0300000000002</v>
      </c>
    </row>
    <row r="35" spans="1:16" s="400" customFormat="1" ht="24.9">
      <c r="A35" s="401">
        <v>16</v>
      </c>
      <c r="B35" s="402"/>
      <c r="C35" s="408" t="s">
        <v>1080</v>
      </c>
      <c r="D35" s="403" t="s">
        <v>29</v>
      </c>
      <c r="E35" s="683">
        <f t="shared" ref="E35:E36" si="39">318+63</f>
        <v>381</v>
      </c>
      <c r="F35" s="434">
        <v>0.1</v>
      </c>
      <c r="G35" s="434">
        <v>9.6999999999999993</v>
      </c>
      <c r="H35" s="576">
        <f>ROUND(G35*F35,2)</f>
        <v>0.97</v>
      </c>
      <c r="I35" s="576">
        <v>4.5999999999999996</v>
      </c>
      <c r="J35" s="576">
        <v>1.1499999999999999</v>
      </c>
      <c r="K35" s="102">
        <f t="shared" si="15"/>
        <v>6.7199999999999989</v>
      </c>
      <c r="L35" s="50">
        <f t="shared" si="16"/>
        <v>38.1</v>
      </c>
      <c r="M35" s="102">
        <f t="shared" si="17"/>
        <v>369.57</v>
      </c>
      <c r="N35" s="102">
        <f t="shared" si="18"/>
        <v>1752.6</v>
      </c>
      <c r="O35" s="102">
        <f t="shared" si="19"/>
        <v>438.15</v>
      </c>
      <c r="P35" s="103">
        <f t="shared" si="20"/>
        <v>2560.3200000000002</v>
      </c>
    </row>
    <row r="36" spans="1:16" s="400" customFormat="1" ht="15.05">
      <c r="A36" s="401">
        <v>17</v>
      </c>
      <c r="B36" s="402"/>
      <c r="C36" s="408" t="s">
        <v>1081</v>
      </c>
      <c r="D36" s="403" t="s">
        <v>29</v>
      </c>
      <c r="E36" s="683">
        <f t="shared" si="39"/>
        <v>381</v>
      </c>
      <c r="F36" s="434">
        <v>0.06</v>
      </c>
      <c r="G36" s="434">
        <v>9.6999999999999993</v>
      </c>
      <c r="H36" s="576">
        <f>ROUND(G36*F36,2)</f>
        <v>0.57999999999999996</v>
      </c>
      <c r="I36" s="576">
        <v>0.6</v>
      </c>
      <c r="J36" s="576">
        <v>0.4</v>
      </c>
      <c r="K36" s="102">
        <f t="shared" si="15"/>
        <v>1.58</v>
      </c>
      <c r="L36" s="50">
        <f t="shared" si="16"/>
        <v>22.86</v>
      </c>
      <c r="M36" s="102">
        <f t="shared" si="17"/>
        <v>220.98</v>
      </c>
      <c r="N36" s="102">
        <f t="shared" si="18"/>
        <v>228.6</v>
      </c>
      <c r="O36" s="102">
        <f t="shared" si="19"/>
        <v>152.4</v>
      </c>
      <c r="P36" s="103">
        <f t="shared" si="20"/>
        <v>601.98</v>
      </c>
    </row>
    <row r="37" spans="1:16" s="400" customFormat="1" ht="15.05">
      <c r="A37" s="401"/>
      <c r="B37" s="402"/>
      <c r="C37" s="407" t="s">
        <v>1048</v>
      </c>
      <c r="D37" s="403"/>
      <c r="E37" s="683"/>
      <c r="F37" s="434"/>
      <c r="G37" s="434"/>
      <c r="H37" s="576"/>
      <c r="I37" s="576">
        <v>0</v>
      </c>
      <c r="J37" s="576">
        <v>0</v>
      </c>
      <c r="K37" s="102">
        <f t="shared" si="15"/>
        <v>0</v>
      </c>
      <c r="L37" s="50">
        <f t="shared" si="16"/>
        <v>0</v>
      </c>
      <c r="M37" s="102">
        <f t="shared" si="17"/>
        <v>0</v>
      </c>
      <c r="N37" s="102">
        <f t="shared" si="18"/>
        <v>0</v>
      </c>
      <c r="O37" s="102">
        <f t="shared" si="19"/>
        <v>0</v>
      </c>
      <c r="P37" s="103">
        <f t="shared" si="20"/>
        <v>0</v>
      </c>
    </row>
    <row r="38" spans="1:16" s="400" customFormat="1" ht="15.05">
      <c r="A38" s="401">
        <v>18</v>
      </c>
      <c r="B38" s="402"/>
      <c r="C38" s="408" t="s">
        <v>1049</v>
      </c>
      <c r="D38" s="403" t="s">
        <v>29</v>
      </c>
      <c r="E38" s="683">
        <f>3503+165</f>
        <v>3668</v>
      </c>
      <c r="F38" s="434">
        <v>0.8</v>
      </c>
      <c r="G38" s="434">
        <v>9.6999999999999993</v>
      </c>
      <c r="H38" s="576">
        <f>ROUND(G38*F38,2)</f>
        <v>7.76</v>
      </c>
      <c r="I38" s="576">
        <v>10.5</v>
      </c>
      <c r="J38" s="576">
        <v>1.4</v>
      </c>
      <c r="K38" s="102">
        <f t="shared" si="15"/>
        <v>19.659999999999997</v>
      </c>
      <c r="L38" s="50">
        <f t="shared" si="16"/>
        <v>2934.4</v>
      </c>
      <c r="M38" s="102">
        <f t="shared" si="17"/>
        <v>28463.68</v>
      </c>
      <c r="N38" s="102">
        <f t="shared" si="18"/>
        <v>38514</v>
      </c>
      <c r="O38" s="102">
        <f t="shared" si="19"/>
        <v>5135.2</v>
      </c>
      <c r="P38" s="103">
        <f t="shared" si="20"/>
        <v>72112.87999999999</v>
      </c>
    </row>
    <row r="39" spans="1:16" s="400" customFormat="1" ht="15.05">
      <c r="A39" s="401">
        <v>19</v>
      </c>
      <c r="B39" s="402"/>
      <c r="C39" s="408" t="s">
        <v>1050</v>
      </c>
      <c r="D39" s="403" t="s">
        <v>29</v>
      </c>
      <c r="E39" s="683">
        <v>318</v>
      </c>
      <c r="F39" s="434">
        <v>0.8</v>
      </c>
      <c r="G39" s="434">
        <v>9.6999999999999993</v>
      </c>
      <c r="H39" s="576">
        <f>ROUND(G39*F39,2)</f>
        <v>7.76</v>
      </c>
      <c r="I39" s="576">
        <v>7.5</v>
      </c>
      <c r="J39" s="576">
        <v>1.4</v>
      </c>
      <c r="K39" s="102">
        <f t="shared" si="15"/>
        <v>16.66</v>
      </c>
      <c r="L39" s="50">
        <f t="shared" si="16"/>
        <v>254.4</v>
      </c>
      <c r="M39" s="102">
        <f t="shared" si="17"/>
        <v>2467.6799999999998</v>
      </c>
      <c r="N39" s="102">
        <f t="shared" si="18"/>
        <v>2385</v>
      </c>
      <c r="O39" s="102">
        <f t="shared" si="19"/>
        <v>445.2</v>
      </c>
      <c r="P39" s="103">
        <f t="shared" si="20"/>
        <v>5297.88</v>
      </c>
    </row>
    <row r="40" spans="1:16" s="400" customFormat="1" ht="15.05">
      <c r="A40" s="401">
        <v>20</v>
      </c>
      <c r="B40" s="402"/>
      <c r="C40" s="408" t="s">
        <v>1077</v>
      </c>
      <c r="D40" s="403" t="s">
        <v>29</v>
      </c>
      <c r="E40" s="683">
        <v>63</v>
      </c>
      <c r="F40" s="434">
        <v>1.2</v>
      </c>
      <c r="G40" s="434">
        <v>9.6999999999999993</v>
      </c>
      <c r="H40" s="576">
        <f>ROUND(G40*F40,2)</f>
        <v>11.64</v>
      </c>
      <c r="I40" s="576">
        <v>25</v>
      </c>
      <c r="J40" s="576">
        <v>1.4</v>
      </c>
      <c r="K40" s="102">
        <f t="shared" ref="K40" si="40">SUM(H40:J40)</f>
        <v>38.04</v>
      </c>
      <c r="L40" s="50">
        <f t="shared" ref="L40" si="41">ROUND(F40*E40,2)</f>
        <v>75.599999999999994</v>
      </c>
      <c r="M40" s="102">
        <f t="shared" ref="M40" si="42">ROUND(H40*E40,2)</f>
        <v>733.32</v>
      </c>
      <c r="N40" s="102">
        <f t="shared" ref="N40" si="43">ROUND(I40*E40,2)</f>
        <v>1575</v>
      </c>
      <c r="O40" s="102">
        <f t="shared" ref="O40" si="44">ROUND(J40*E40,2)</f>
        <v>88.2</v>
      </c>
      <c r="P40" s="103">
        <f t="shared" ref="P40" si="45">SUM(M40:O40)</f>
        <v>2396.52</v>
      </c>
    </row>
    <row r="41" spans="1:16" s="400" customFormat="1" ht="15.05">
      <c r="A41" s="401"/>
      <c r="B41" s="402"/>
      <c r="C41" s="407" t="s">
        <v>1051</v>
      </c>
      <c r="D41" s="403"/>
      <c r="E41" s="683"/>
      <c r="F41" s="434"/>
      <c r="G41" s="434"/>
      <c r="H41" s="576"/>
      <c r="I41" s="576"/>
      <c r="J41" s="576">
        <v>0</v>
      </c>
      <c r="K41" s="102">
        <f t="shared" si="15"/>
        <v>0</v>
      </c>
      <c r="L41" s="50">
        <f t="shared" si="16"/>
        <v>0</v>
      </c>
      <c r="M41" s="102">
        <f t="shared" si="17"/>
        <v>0</v>
      </c>
      <c r="N41" s="102">
        <f t="shared" si="18"/>
        <v>0</v>
      </c>
      <c r="O41" s="102">
        <f t="shared" si="19"/>
        <v>0</v>
      </c>
      <c r="P41" s="103">
        <f t="shared" si="20"/>
        <v>0</v>
      </c>
    </row>
    <row r="42" spans="1:16" s="400" customFormat="1" ht="24.9">
      <c r="A42" s="409">
        <v>21</v>
      </c>
      <c r="B42" s="115"/>
      <c r="C42" s="410" t="s">
        <v>1052</v>
      </c>
      <c r="D42" s="411" t="s">
        <v>111</v>
      </c>
      <c r="E42" s="685">
        <v>455</v>
      </c>
      <c r="F42" s="577">
        <v>0.8</v>
      </c>
      <c r="G42" s="434">
        <v>9.6999999999999993</v>
      </c>
      <c r="H42" s="576">
        <f>ROUND(G42*F42,2)</f>
        <v>7.76</v>
      </c>
      <c r="I42" s="412">
        <v>7.1</v>
      </c>
      <c r="J42" s="412">
        <v>0.40500000000000003</v>
      </c>
      <c r="K42" s="102">
        <f t="shared" si="15"/>
        <v>15.264999999999999</v>
      </c>
      <c r="L42" s="50">
        <f t="shared" si="16"/>
        <v>364</v>
      </c>
      <c r="M42" s="102">
        <f t="shared" si="17"/>
        <v>3530.8</v>
      </c>
      <c r="N42" s="102">
        <f t="shared" si="18"/>
        <v>3230.5</v>
      </c>
      <c r="O42" s="102">
        <f t="shared" si="19"/>
        <v>184.28</v>
      </c>
      <c r="P42" s="103">
        <f t="shared" si="20"/>
        <v>6945.58</v>
      </c>
    </row>
    <row r="43" spans="1:16" s="400" customFormat="1" ht="24.9">
      <c r="A43" s="413">
        <v>22</v>
      </c>
      <c r="B43" s="115"/>
      <c r="C43" s="414" t="s">
        <v>1053</v>
      </c>
      <c r="D43" s="396" t="s">
        <v>111</v>
      </c>
      <c r="E43" s="686">
        <v>26</v>
      </c>
      <c r="F43" s="108">
        <v>0.85</v>
      </c>
      <c r="G43" s="434">
        <v>9.6999999999999993</v>
      </c>
      <c r="H43" s="399">
        <f t="shared" ref="H43:H44" si="46">ROUND(G43*F43,2)</f>
        <v>8.25</v>
      </c>
      <c r="I43" s="578">
        <v>8</v>
      </c>
      <c r="J43" s="578">
        <v>1.65</v>
      </c>
      <c r="K43" s="102">
        <f t="shared" si="15"/>
        <v>17.899999999999999</v>
      </c>
      <c r="L43" s="50">
        <f t="shared" si="16"/>
        <v>22.1</v>
      </c>
      <c r="M43" s="102">
        <f t="shared" si="17"/>
        <v>214.5</v>
      </c>
      <c r="N43" s="102">
        <f t="shared" si="18"/>
        <v>208</v>
      </c>
      <c r="O43" s="102">
        <f t="shared" si="19"/>
        <v>42.9</v>
      </c>
      <c r="P43" s="103">
        <f t="shared" si="20"/>
        <v>465.4</v>
      </c>
    </row>
    <row r="44" spans="1:16" s="400" customFormat="1" ht="24.9">
      <c r="A44" s="409">
        <v>23</v>
      </c>
      <c r="B44" s="115"/>
      <c r="C44" s="414" t="s">
        <v>1054</v>
      </c>
      <c r="D44" s="396" t="s">
        <v>111</v>
      </c>
      <c r="E44" s="686">
        <v>194</v>
      </c>
      <c r="F44" s="108">
        <v>0.85</v>
      </c>
      <c r="G44" s="434">
        <v>9.6999999999999993</v>
      </c>
      <c r="H44" s="399">
        <f t="shared" si="46"/>
        <v>8.25</v>
      </c>
      <c r="I44" s="578">
        <v>4.9000000000000004</v>
      </c>
      <c r="J44" s="578">
        <v>1.65</v>
      </c>
      <c r="K44" s="102">
        <f t="shared" si="15"/>
        <v>14.8</v>
      </c>
      <c r="L44" s="50">
        <f t="shared" si="16"/>
        <v>164.9</v>
      </c>
      <c r="M44" s="102">
        <f t="shared" si="17"/>
        <v>1600.5</v>
      </c>
      <c r="N44" s="102">
        <f t="shared" si="18"/>
        <v>950.6</v>
      </c>
      <c r="O44" s="102">
        <f t="shared" si="19"/>
        <v>320.10000000000002</v>
      </c>
      <c r="P44" s="103">
        <f t="shared" si="20"/>
        <v>2871.2</v>
      </c>
    </row>
    <row r="45" spans="1:16" s="607" customFormat="1" ht="30.15">
      <c r="A45" s="413">
        <v>24</v>
      </c>
      <c r="B45" s="611"/>
      <c r="C45" s="676" t="s">
        <v>1598</v>
      </c>
      <c r="D45" s="677" t="s">
        <v>136</v>
      </c>
      <c r="E45" s="687">
        <v>5</v>
      </c>
      <c r="F45" s="220">
        <v>1.7</v>
      </c>
      <c r="G45" s="435">
        <v>9.5</v>
      </c>
      <c r="H45" s="613">
        <f t="shared" ref="H45" si="47">ROUND(F45*G45,2)</f>
        <v>16.149999999999999</v>
      </c>
      <c r="I45" s="678">
        <v>16</v>
      </c>
      <c r="J45" s="678">
        <v>3.2</v>
      </c>
      <c r="K45" s="222">
        <f t="shared" ref="K45" si="48">SUM(H45:J45)</f>
        <v>35.35</v>
      </c>
      <c r="L45" s="223">
        <f t="shared" si="16"/>
        <v>8.5</v>
      </c>
      <c r="M45" s="222">
        <f t="shared" si="17"/>
        <v>80.75</v>
      </c>
      <c r="N45" s="222">
        <f t="shared" si="18"/>
        <v>80</v>
      </c>
      <c r="O45" s="222">
        <f t="shared" si="19"/>
        <v>16</v>
      </c>
      <c r="P45" s="250">
        <f t="shared" si="20"/>
        <v>176.75</v>
      </c>
    </row>
    <row r="46" spans="1:16" s="400" customFormat="1">
      <c r="A46" s="416"/>
      <c r="B46" s="402"/>
      <c r="C46" s="417" t="s">
        <v>1056</v>
      </c>
      <c r="D46" s="418"/>
      <c r="E46" s="686"/>
      <c r="F46" s="108">
        <v>0</v>
      </c>
      <c r="G46" s="108">
        <v>0</v>
      </c>
      <c r="H46" s="399">
        <f t="shared" ref="H46" si="49">ROUND(G46*F46,2)</f>
        <v>0</v>
      </c>
      <c r="I46" s="579">
        <v>0</v>
      </c>
      <c r="J46" s="579">
        <v>0</v>
      </c>
      <c r="K46" s="102">
        <f t="shared" si="15"/>
        <v>0</v>
      </c>
      <c r="L46" s="50">
        <f t="shared" si="16"/>
        <v>0</v>
      </c>
      <c r="M46" s="102">
        <f t="shared" si="17"/>
        <v>0</v>
      </c>
      <c r="N46" s="102">
        <f t="shared" si="18"/>
        <v>0</v>
      </c>
      <c r="O46" s="102">
        <f t="shared" si="19"/>
        <v>0</v>
      </c>
      <c r="P46" s="103">
        <f t="shared" si="20"/>
        <v>0</v>
      </c>
    </row>
    <row r="47" spans="1:16" s="400" customFormat="1" ht="24.9">
      <c r="A47" s="416">
        <v>25</v>
      </c>
      <c r="B47" s="402"/>
      <c r="C47" s="419" t="s">
        <v>1057</v>
      </c>
      <c r="D47" s="418" t="s">
        <v>111</v>
      </c>
      <c r="E47" s="686">
        <v>60</v>
      </c>
      <c r="F47" s="108">
        <v>0.23</v>
      </c>
      <c r="G47" s="434">
        <v>9.6999999999999993</v>
      </c>
      <c r="H47" s="399">
        <f>ROUND(G47*F47,2)</f>
        <v>2.23</v>
      </c>
      <c r="I47" s="579">
        <v>1.35</v>
      </c>
      <c r="J47" s="579">
        <v>0.3</v>
      </c>
      <c r="K47" s="102">
        <f t="shared" si="15"/>
        <v>3.88</v>
      </c>
      <c r="L47" s="50">
        <f t="shared" si="16"/>
        <v>13.8</v>
      </c>
      <c r="M47" s="102">
        <f t="shared" si="17"/>
        <v>133.80000000000001</v>
      </c>
      <c r="N47" s="102">
        <f t="shared" si="18"/>
        <v>81</v>
      </c>
      <c r="O47" s="102">
        <f t="shared" si="19"/>
        <v>18</v>
      </c>
      <c r="P47" s="103">
        <f t="shared" si="20"/>
        <v>232.8</v>
      </c>
    </row>
    <row r="48" spans="1:16" s="607" customFormat="1" ht="24.9">
      <c r="A48" s="675">
        <v>26</v>
      </c>
      <c r="B48" s="611"/>
      <c r="C48" s="224" t="s">
        <v>1599</v>
      </c>
      <c r="D48" s="611" t="s">
        <v>999</v>
      </c>
      <c r="E48" s="688">
        <v>11</v>
      </c>
      <c r="F48" s="375">
        <v>0.8</v>
      </c>
      <c r="G48" s="435">
        <v>9.5</v>
      </c>
      <c r="H48" s="679">
        <f t="shared" ref="H48" si="50">ROUND(G48*F48,2)</f>
        <v>7.6</v>
      </c>
      <c r="I48" s="680">
        <v>108</v>
      </c>
      <c r="J48" s="680">
        <v>0.27</v>
      </c>
      <c r="K48" s="222">
        <f t="shared" ref="K48" si="51">SUM(H48:J48)</f>
        <v>115.86999999999999</v>
      </c>
      <c r="L48" s="223">
        <f t="shared" si="16"/>
        <v>8.8000000000000007</v>
      </c>
      <c r="M48" s="222">
        <f t="shared" si="17"/>
        <v>83.6</v>
      </c>
      <c r="N48" s="222">
        <f t="shared" si="18"/>
        <v>1188</v>
      </c>
      <c r="O48" s="222">
        <f t="shared" si="19"/>
        <v>2.97</v>
      </c>
      <c r="P48" s="250">
        <f t="shared" si="20"/>
        <v>1274.57</v>
      </c>
    </row>
    <row r="49" spans="1:16" s="400" customFormat="1" ht="15.05">
      <c r="A49" s="401"/>
      <c r="B49" s="402"/>
      <c r="C49" s="421" t="s">
        <v>1058</v>
      </c>
      <c r="D49" s="403"/>
      <c r="E49" s="683"/>
      <c r="F49" s="434"/>
      <c r="G49" s="434"/>
      <c r="H49" s="576"/>
      <c r="I49" s="576"/>
      <c r="J49" s="576"/>
      <c r="K49" s="102">
        <f t="shared" si="15"/>
        <v>0</v>
      </c>
      <c r="L49" s="50">
        <f t="shared" si="16"/>
        <v>0</v>
      </c>
      <c r="M49" s="102">
        <f t="shared" si="17"/>
        <v>0</v>
      </c>
      <c r="N49" s="102">
        <f t="shared" si="18"/>
        <v>0</v>
      </c>
      <c r="O49" s="102">
        <f t="shared" si="19"/>
        <v>0</v>
      </c>
      <c r="P49" s="103">
        <f t="shared" si="20"/>
        <v>0</v>
      </c>
    </row>
    <row r="50" spans="1:16" s="428" customFormat="1" ht="62.2">
      <c r="A50" s="416">
        <v>27</v>
      </c>
      <c r="B50" s="422"/>
      <c r="C50" s="423" t="s">
        <v>1059</v>
      </c>
      <c r="D50" s="424" t="s">
        <v>1060</v>
      </c>
      <c r="E50" s="689">
        <v>342</v>
      </c>
      <c r="F50" s="108">
        <v>1.36</v>
      </c>
      <c r="G50" s="434">
        <v>9.6999999999999993</v>
      </c>
      <c r="H50" s="399">
        <f t="shared" ref="H50" si="52">ROUND(G50*F50,2)</f>
        <v>13.19</v>
      </c>
      <c r="I50" s="426">
        <v>9.8000000000000007</v>
      </c>
      <c r="J50" s="427">
        <v>1.2</v>
      </c>
      <c r="K50" s="102">
        <f t="shared" si="15"/>
        <v>24.19</v>
      </c>
      <c r="L50" s="50">
        <f t="shared" si="16"/>
        <v>465.12</v>
      </c>
      <c r="M50" s="102">
        <f t="shared" si="17"/>
        <v>4510.9799999999996</v>
      </c>
      <c r="N50" s="102">
        <f t="shared" si="18"/>
        <v>3351.6</v>
      </c>
      <c r="O50" s="102">
        <f t="shared" si="19"/>
        <v>410.4</v>
      </c>
      <c r="P50" s="103">
        <f t="shared" si="20"/>
        <v>8272.98</v>
      </c>
    </row>
    <row r="51" spans="1:16" s="428" customFormat="1">
      <c r="A51" s="429">
        <v>28</v>
      </c>
      <c r="B51" s="422"/>
      <c r="C51" s="414" t="s">
        <v>1061</v>
      </c>
      <c r="D51" s="430" t="s">
        <v>723</v>
      </c>
      <c r="E51" s="689">
        <v>2</v>
      </c>
      <c r="F51" s="108">
        <v>18.57</v>
      </c>
      <c r="G51" s="434">
        <v>9.6999999999999993</v>
      </c>
      <c r="H51" s="399">
        <f t="shared" ref="H51:H55" si="53">ROUND(G51*F51,2)</f>
        <v>180.13</v>
      </c>
      <c r="I51" s="426">
        <v>1600</v>
      </c>
      <c r="J51" s="427">
        <v>4</v>
      </c>
      <c r="K51" s="102">
        <f t="shared" si="15"/>
        <v>1784.13</v>
      </c>
      <c r="L51" s="50">
        <f t="shared" si="16"/>
        <v>37.14</v>
      </c>
      <c r="M51" s="102">
        <f t="shared" si="17"/>
        <v>360.26</v>
      </c>
      <c r="N51" s="102">
        <f t="shared" si="18"/>
        <v>3200</v>
      </c>
      <c r="O51" s="102">
        <f t="shared" si="19"/>
        <v>8</v>
      </c>
      <c r="P51" s="103">
        <f t="shared" si="20"/>
        <v>3568.26</v>
      </c>
    </row>
    <row r="52" spans="1:16" s="400" customFormat="1" ht="15.05">
      <c r="A52" s="416">
        <v>29</v>
      </c>
      <c r="B52" s="422"/>
      <c r="C52" s="408" t="s">
        <v>1600</v>
      </c>
      <c r="D52" s="403" t="s">
        <v>118</v>
      </c>
      <c r="E52" s="683">
        <v>1</v>
      </c>
      <c r="F52" s="108">
        <v>30</v>
      </c>
      <c r="G52" s="434">
        <v>9.6999999999999993</v>
      </c>
      <c r="H52" s="399">
        <f t="shared" si="53"/>
        <v>291</v>
      </c>
      <c r="I52" s="426">
        <v>1880</v>
      </c>
      <c r="J52" s="427">
        <v>24</v>
      </c>
      <c r="K52" s="102">
        <f t="shared" si="15"/>
        <v>2195</v>
      </c>
      <c r="L52" s="50">
        <f t="shared" si="16"/>
        <v>30</v>
      </c>
      <c r="M52" s="102">
        <f t="shared" si="17"/>
        <v>291</v>
      </c>
      <c r="N52" s="102">
        <f t="shared" si="18"/>
        <v>1880</v>
      </c>
      <c r="O52" s="102">
        <f t="shared" si="19"/>
        <v>24</v>
      </c>
      <c r="P52" s="103">
        <f t="shared" si="20"/>
        <v>2195</v>
      </c>
    </row>
    <row r="53" spans="1:16" s="400" customFormat="1" ht="15.05">
      <c r="A53" s="429">
        <v>30</v>
      </c>
      <c r="B53" s="422"/>
      <c r="C53" s="408" t="s">
        <v>1601</v>
      </c>
      <c r="D53" s="403" t="s">
        <v>118</v>
      </c>
      <c r="E53" s="683">
        <v>1</v>
      </c>
      <c r="F53" s="108">
        <v>20</v>
      </c>
      <c r="G53" s="434">
        <v>9.6999999999999993</v>
      </c>
      <c r="H53" s="399">
        <f t="shared" si="53"/>
        <v>194</v>
      </c>
      <c r="I53" s="426">
        <v>880</v>
      </c>
      <c r="J53" s="427">
        <v>15</v>
      </c>
      <c r="K53" s="102">
        <f t="shared" si="15"/>
        <v>1089</v>
      </c>
      <c r="L53" s="50">
        <f t="shared" si="16"/>
        <v>20</v>
      </c>
      <c r="M53" s="102">
        <f t="shared" si="17"/>
        <v>194</v>
      </c>
      <c r="N53" s="102">
        <f t="shared" si="18"/>
        <v>880</v>
      </c>
      <c r="O53" s="102">
        <f t="shared" si="19"/>
        <v>15</v>
      </c>
      <c r="P53" s="103">
        <f t="shared" si="20"/>
        <v>1089</v>
      </c>
    </row>
    <row r="54" spans="1:16" s="400" customFormat="1" ht="15.05">
      <c r="A54" s="416">
        <v>31</v>
      </c>
      <c r="B54" s="422"/>
      <c r="C54" s="408" t="s">
        <v>1602</v>
      </c>
      <c r="D54" s="403" t="s">
        <v>118</v>
      </c>
      <c r="E54" s="683">
        <v>1</v>
      </c>
      <c r="F54" s="108">
        <v>10</v>
      </c>
      <c r="G54" s="434">
        <v>9.6999999999999993</v>
      </c>
      <c r="H54" s="399">
        <f t="shared" si="53"/>
        <v>97</v>
      </c>
      <c r="I54" s="426">
        <v>160</v>
      </c>
      <c r="J54" s="427">
        <v>4</v>
      </c>
      <c r="K54" s="102">
        <f t="shared" si="15"/>
        <v>261</v>
      </c>
      <c r="L54" s="50">
        <f t="shared" si="16"/>
        <v>10</v>
      </c>
      <c r="M54" s="102">
        <f t="shared" si="17"/>
        <v>97</v>
      </c>
      <c r="N54" s="102">
        <f t="shared" si="18"/>
        <v>160</v>
      </c>
      <c r="O54" s="102">
        <f t="shared" si="19"/>
        <v>4</v>
      </c>
      <c r="P54" s="103">
        <f t="shared" si="20"/>
        <v>261</v>
      </c>
    </row>
    <row r="55" spans="1:16" s="400" customFormat="1">
      <c r="A55" s="394"/>
      <c r="B55" s="115"/>
      <c r="C55" s="431" t="s">
        <v>1055</v>
      </c>
      <c r="D55" s="432"/>
      <c r="E55" s="686"/>
      <c r="F55" s="108">
        <v>0</v>
      </c>
      <c r="G55" s="108">
        <v>0</v>
      </c>
      <c r="H55" s="399">
        <f t="shared" si="53"/>
        <v>0</v>
      </c>
      <c r="I55" s="399"/>
      <c r="J55" s="399"/>
      <c r="K55" s="102">
        <f t="shared" si="15"/>
        <v>0</v>
      </c>
      <c r="L55" s="50">
        <f t="shared" si="16"/>
        <v>0</v>
      </c>
      <c r="M55" s="102">
        <f t="shared" si="17"/>
        <v>0</v>
      </c>
      <c r="N55" s="102">
        <f t="shared" si="18"/>
        <v>0</v>
      </c>
      <c r="O55" s="102">
        <f t="shared" si="19"/>
        <v>0</v>
      </c>
      <c r="P55" s="103">
        <f t="shared" si="20"/>
        <v>0</v>
      </c>
    </row>
    <row r="56" spans="1:16" s="438" customFormat="1" ht="24.9">
      <c r="A56" s="401">
        <v>32</v>
      </c>
      <c r="B56" s="402"/>
      <c r="C56" s="408" t="s">
        <v>1063</v>
      </c>
      <c r="D56" s="403" t="s">
        <v>118</v>
      </c>
      <c r="E56" s="683">
        <f>E57+E58+E59+E60+E61</f>
        <v>59</v>
      </c>
      <c r="F56" s="434">
        <v>1.1000000000000001</v>
      </c>
      <c r="G56" s="435">
        <v>10</v>
      </c>
      <c r="H56" s="436">
        <f t="shared" ref="H56:H68" si="54">ROUND(F56*G56,2)</f>
        <v>11</v>
      </c>
      <c r="I56" s="437">
        <v>0</v>
      </c>
      <c r="J56" s="437">
        <v>1.2</v>
      </c>
      <c r="K56" s="102">
        <f t="shared" si="15"/>
        <v>12.2</v>
      </c>
      <c r="L56" s="50">
        <f t="shared" si="16"/>
        <v>64.900000000000006</v>
      </c>
      <c r="M56" s="102">
        <f t="shared" si="17"/>
        <v>649</v>
      </c>
      <c r="N56" s="102">
        <f t="shared" si="18"/>
        <v>0</v>
      </c>
      <c r="O56" s="102">
        <f t="shared" si="19"/>
        <v>70.8</v>
      </c>
      <c r="P56" s="103">
        <f t="shared" si="20"/>
        <v>719.8</v>
      </c>
    </row>
    <row r="57" spans="1:16" s="438" customFormat="1" ht="15.05">
      <c r="A57" s="401"/>
      <c r="B57" s="402"/>
      <c r="C57" s="439" t="s">
        <v>1064</v>
      </c>
      <c r="D57" s="403" t="s">
        <v>118</v>
      </c>
      <c r="E57" s="683">
        <v>12</v>
      </c>
      <c r="F57" s="434"/>
      <c r="G57" s="434">
        <v>0</v>
      </c>
      <c r="H57" s="436">
        <f t="shared" si="54"/>
        <v>0</v>
      </c>
      <c r="I57" s="437">
        <v>6</v>
      </c>
      <c r="J57" s="437">
        <v>0</v>
      </c>
      <c r="K57" s="102">
        <f t="shared" ref="K57:K65" si="55">SUM(H57:J57)</f>
        <v>6</v>
      </c>
      <c r="L57" s="50">
        <f t="shared" si="16"/>
        <v>0</v>
      </c>
      <c r="M57" s="102">
        <f t="shared" si="17"/>
        <v>0</v>
      </c>
      <c r="N57" s="102">
        <f t="shared" si="18"/>
        <v>72</v>
      </c>
      <c r="O57" s="102">
        <f t="shared" si="19"/>
        <v>0</v>
      </c>
      <c r="P57" s="103">
        <f t="shared" si="20"/>
        <v>72</v>
      </c>
    </row>
    <row r="58" spans="1:16" s="438" customFormat="1" ht="15.05">
      <c r="A58" s="401"/>
      <c r="B58" s="402"/>
      <c r="C58" s="439" t="s">
        <v>1065</v>
      </c>
      <c r="D58" s="403" t="s">
        <v>118</v>
      </c>
      <c r="E58" s="683">
        <v>3</v>
      </c>
      <c r="F58" s="434"/>
      <c r="G58" s="434">
        <v>0</v>
      </c>
      <c r="H58" s="436">
        <f t="shared" si="54"/>
        <v>0</v>
      </c>
      <c r="I58" s="437">
        <v>35</v>
      </c>
      <c r="J58" s="437">
        <v>0</v>
      </c>
      <c r="K58" s="102">
        <f t="shared" si="55"/>
        <v>35</v>
      </c>
      <c r="L58" s="50">
        <f t="shared" si="16"/>
        <v>0</v>
      </c>
      <c r="M58" s="102">
        <f t="shared" si="17"/>
        <v>0</v>
      </c>
      <c r="N58" s="102">
        <f t="shared" si="18"/>
        <v>105</v>
      </c>
      <c r="O58" s="102">
        <f t="shared" si="19"/>
        <v>0</v>
      </c>
      <c r="P58" s="103">
        <f t="shared" si="20"/>
        <v>105</v>
      </c>
    </row>
    <row r="59" spans="1:16" s="438" customFormat="1" ht="15.05">
      <c r="A59" s="401"/>
      <c r="B59" s="402"/>
      <c r="C59" s="439" t="s">
        <v>1066</v>
      </c>
      <c r="D59" s="403" t="s">
        <v>118</v>
      </c>
      <c r="E59" s="683">
        <v>23</v>
      </c>
      <c r="F59" s="434"/>
      <c r="G59" s="440"/>
      <c r="H59" s="436"/>
      <c r="I59" s="437">
        <v>4</v>
      </c>
      <c r="J59" s="437"/>
      <c r="K59" s="102">
        <f t="shared" si="55"/>
        <v>4</v>
      </c>
      <c r="L59" s="50">
        <f t="shared" si="16"/>
        <v>0</v>
      </c>
      <c r="M59" s="102">
        <f t="shared" si="17"/>
        <v>0</v>
      </c>
      <c r="N59" s="102">
        <f t="shared" si="18"/>
        <v>92</v>
      </c>
      <c r="O59" s="102">
        <f t="shared" si="19"/>
        <v>0</v>
      </c>
      <c r="P59" s="103">
        <f t="shared" si="20"/>
        <v>92</v>
      </c>
    </row>
    <row r="60" spans="1:16" s="438" customFormat="1" ht="15.05">
      <c r="A60" s="401"/>
      <c r="B60" s="402"/>
      <c r="C60" s="439" t="s">
        <v>1067</v>
      </c>
      <c r="D60" s="403" t="s">
        <v>118</v>
      </c>
      <c r="E60" s="683">
        <v>11</v>
      </c>
      <c r="F60" s="434"/>
      <c r="G60" s="440"/>
      <c r="H60" s="436"/>
      <c r="I60" s="437">
        <v>35</v>
      </c>
      <c r="J60" s="437"/>
      <c r="K60" s="102">
        <f t="shared" si="55"/>
        <v>35</v>
      </c>
      <c r="L60" s="50">
        <f t="shared" si="16"/>
        <v>0</v>
      </c>
      <c r="M60" s="102">
        <f t="shared" si="17"/>
        <v>0</v>
      </c>
      <c r="N60" s="102">
        <f t="shared" si="18"/>
        <v>385</v>
      </c>
      <c r="O60" s="102">
        <f t="shared" si="19"/>
        <v>0</v>
      </c>
      <c r="P60" s="103">
        <f t="shared" si="20"/>
        <v>385</v>
      </c>
    </row>
    <row r="61" spans="1:16" s="438" customFormat="1" ht="15.05">
      <c r="A61" s="401"/>
      <c r="B61" s="402"/>
      <c r="C61" s="439" t="s">
        <v>1068</v>
      </c>
      <c r="D61" s="403" t="s">
        <v>118</v>
      </c>
      <c r="E61" s="683">
        <v>10</v>
      </c>
      <c r="F61" s="434"/>
      <c r="G61" s="440"/>
      <c r="H61" s="436"/>
      <c r="I61" s="437">
        <v>5</v>
      </c>
      <c r="J61" s="437"/>
      <c r="K61" s="102">
        <f t="shared" si="55"/>
        <v>5</v>
      </c>
      <c r="L61" s="50">
        <f t="shared" si="16"/>
        <v>0</v>
      </c>
      <c r="M61" s="102">
        <f t="shared" si="17"/>
        <v>0</v>
      </c>
      <c r="N61" s="102">
        <f t="shared" si="18"/>
        <v>50</v>
      </c>
      <c r="O61" s="102">
        <f t="shared" si="19"/>
        <v>0</v>
      </c>
      <c r="P61" s="103">
        <f t="shared" si="20"/>
        <v>50</v>
      </c>
    </row>
    <row r="62" spans="1:16" s="438" customFormat="1" ht="15.05">
      <c r="A62" s="401"/>
      <c r="B62" s="402"/>
      <c r="C62" s="439" t="s">
        <v>1069</v>
      </c>
      <c r="D62" s="403" t="s">
        <v>884</v>
      </c>
      <c r="E62" s="683">
        <f>1.12*E56</f>
        <v>66.080000000000013</v>
      </c>
      <c r="F62" s="434"/>
      <c r="G62" s="440"/>
      <c r="H62" s="436"/>
      <c r="I62" s="437">
        <v>5.6</v>
      </c>
      <c r="J62" s="437"/>
      <c r="K62" s="102">
        <f t="shared" si="55"/>
        <v>5.6</v>
      </c>
      <c r="L62" s="50">
        <f t="shared" si="16"/>
        <v>0</v>
      </c>
      <c r="M62" s="102">
        <f t="shared" si="17"/>
        <v>0</v>
      </c>
      <c r="N62" s="102">
        <f t="shared" si="18"/>
        <v>370.05</v>
      </c>
      <c r="O62" s="102">
        <f t="shared" si="19"/>
        <v>0</v>
      </c>
      <c r="P62" s="103">
        <f t="shared" si="20"/>
        <v>370.05</v>
      </c>
    </row>
    <row r="63" spans="1:16" s="438" customFormat="1" ht="15.05">
      <c r="A63" s="401"/>
      <c r="B63" s="402"/>
      <c r="C63" s="441" t="s">
        <v>1070</v>
      </c>
      <c r="D63" s="403" t="s">
        <v>884</v>
      </c>
      <c r="E63" s="683">
        <f>0.025*E56</f>
        <v>1.4750000000000001</v>
      </c>
      <c r="F63" s="434"/>
      <c r="G63" s="440"/>
      <c r="H63" s="436"/>
      <c r="I63" s="437">
        <v>55</v>
      </c>
      <c r="J63" s="437"/>
      <c r="K63" s="102">
        <f t="shared" si="55"/>
        <v>55</v>
      </c>
      <c r="L63" s="50">
        <f t="shared" si="16"/>
        <v>0</v>
      </c>
      <c r="M63" s="102">
        <f t="shared" si="17"/>
        <v>0</v>
      </c>
      <c r="N63" s="102">
        <f t="shared" si="18"/>
        <v>81.13</v>
      </c>
      <c r="O63" s="102">
        <f t="shared" si="19"/>
        <v>0</v>
      </c>
      <c r="P63" s="103">
        <f t="shared" si="20"/>
        <v>81.13</v>
      </c>
    </row>
    <row r="64" spans="1:16" s="438" customFormat="1" ht="15.05">
      <c r="A64" s="401"/>
      <c r="B64" s="402"/>
      <c r="C64" s="439" t="s">
        <v>691</v>
      </c>
      <c r="D64" s="403" t="s">
        <v>721</v>
      </c>
      <c r="E64" s="683">
        <v>1</v>
      </c>
      <c r="F64" s="434"/>
      <c r="G64" s="440"/>
      <c r="H64" s="436"/>
      <c r="I64" s="437">
        <v>40</v>
      </c>
      <c r="J64" s="437"/>
      <c r="K64" s="102">
        <f t="shared" si="55"/>
        <v>40</v>
      </c>
      <c r="L64" s="50">
        <f t="shared" si="16"/>
        <v>0</v>
      </c>
      <c r="M64" s="102">
        <f t="shared" si="17"/>
        <v>0</v>
      </c>
      <c r="N64" s="102">
        <f t="shared" si="18"/>
        <v>40</v>
      </c>
      <c r="O64" s="102">
        <f t="shared" si="19"/>
        <v>0</v>
      </c>
      <c r="P64" s="103">
        <f t="shared" si="20"/>
        <v>40</v>
      </c>
    </row>
    <row r="65" spans="1:16" s="438" customFormat="1" ht="24.9">
      <c r="A65" s="401">
        <v>33</v>
      </c>
      <c r="B65" s="402"/>
      <c r="C65" s="408" t="s">
        <v>1071</v>
      </c>
      <c r="D65" s="403" t="s">
        <v>118</v>
      </c>
      <c r="E65" s="683">
        <f>E66+E67+E68+E69</f>
        <v>127</v>
      </c>
      <c r="F65" s="434">
        <v>0.2</v>
      </c>
      <c r="G65" s="435">
        <v>10</v>
      </c>
      <c r="H65" s="436">
        <f t="shared" si="54"/>
        <v>2</v>
      </c>
      <c r="I65" s="437">
        <v>0</v>
      </c>
      <c r="J65" s="437">
        <v>1.2</v>
      </c>
      <c r="K65" s="102">
        <f t="shared" si="55"/>
        <v>3.2</v>
      </c>
      <c r="L65" s="50">
        <f t="shared" si="16"/>
        <v>25.4</v>
      </c>
      <c r="M65" s="102">
        <f t="shared" si="17"/>
        <v>254</v>
      </c>
      <c r="N65" s="102">
        <f t="shared" si="18"/>
        <v>0</v>
      </c>
      <c r="O65" s="102">
        <f t="shared" si="19"/>
        <v>152.4</v>
      </c>
      <c r="P65" s="103">
        <f t="shared" si="20"/>
        <v>406.4</v>
      </c>
    </row>
    <row r="66" spans="1:16" s="438" customFormat="1" ht="15.05">
      <c r="A66" s="401"/>
      <c r="B66" s="402"/>
      <c r="C66" s="439" t="s">
        <v>1072</v>
      </c>
      <c r="D66" s="403" t="s">
        <v>118</v>
      </c>
      <c r="E66" s="683">
        <v>25</v>
      </c>
      <c r="F66" s="434"/>
      <c r="G66" s="434">
        <v>0</v>
      </c>
      <c r="H66" s="436">
        <f t="shared" si="54"/>
        <v>0</v>
      </c>
      <c r="I66" s="437">
        <v>2.5</v>
      </c>
      <c r="J66" s="437">
        <v>0</v>
      </c>
      <c r="K66" s="102">
        <f t="shared" ref="K66:K71" si="56">SUM(H66:J66)</f>
        <v>2.5</v>
      </c>
      <c r="L66" s="50">
        <f t="shared" si="16"/>
        <v>0</v>
      </c>
      <c r="M66" s="102">
        <f t="shared" si="17"/>
        <v>0</v>
      </c>
      <c r="N66" s="102">
        <f t="shared" si="18"/>
        <v>62.5</v>
      </c>
      <c r="O66" s="102">
        <f t="shared" si="19"/>
        <v>0</v>
      </c>
      <c r="P66" s="103">
        <f t="shared" si="20"/>
        <v>62.5</v>
      </c>
    </row>
    <row r="67" spans="1:16" s="438" customFormat="1" ht="15.05">
      <c r="A67" s="401"/>
      <c r="B67" s="402"/>
      <c r="C67" s="439" t="s">
        <v>1073</v>
      </c>
      <c r="D67" s="403" t="s">
        <v>118</v>
      </c>
      <c r="E67" s="683">
        <v>64</v>
      </c>
      <c r="F67" s="434"/>
      <c r="G67" s="434">
        <v>0</v>
      </c>
      <c r="H67" s="436">
        <f t="shared" si="54"/>
        <v>0</v>
      </c>
      <c r="I67" s="437">
        <v>3.8</v>
      </c>
      <c r="J67" s="437">
        <v>0</v>
      </c>
      <c r="K67" s="102">
        <f t="shared" si="56"/>
        <v>3.8</v>
      </c>
      <c r="L67" s="50">
        <f t="shared" si="16"/>
        <v>0</v>
      </c>
      <c r="M67" s="102">
        <f t="shared" si="17"/>
        <v>0</v>
      </c>
      <c r="N67" s="102">
        <f t="shared" si="18"/>
        <v>243.2</v>
      </c>
      <c r="O67" s="102">
        <f t="shared" si="19"/>
        <v>0</v>
      </c>
      <c r="P67" s="103">
        <f t="shared" si="20"/>
        <v>243.2</v>
      </c>
    </row>
    <row r="68" spans="1:16" s="438" customFormat="1" ht="15.05">
      <c r="A68" s="401"/>
      <c r="B68" s="402"/>
      <c r="C68" s="439" t="s">
        <v>1074</v>
      </c>
      <c r="D68" s="403" t="s">
        <v>118</v>
      </c>
      <c r="E68" s="683">
        <v>21</v>
      </c>
      <c r="F68" s="434"/>
      <c r="G68" s="434"/>
      <c r="H68" s="436">
        <f t="shared" si="54"/>
        <v>0</v>
      </c>
      <c r="I68" s="437">
        <v>2.2999999999999998</v>
      </c>
      <c r="J68" s="437"/>
      <c r="K68" s="102">
        <f t="shared" si="56"/>
        <v>2.2999999999999998</v>
      </c>
      <c r="L68" s="50">
        <f t="shared" si="16"/>
        <v>0</v>
      </c>
      <c r="M68" s="102">
        <f t="shared" si="17"/>
        <v>0</v>
      </c>
      <c r="N68" s="102">
        <f t="shared" si="18"/>
        <v>48.3</v>
      </c>
      <c r="O68" s="102">
        <f t="shared" si="19"/>
        <v>0</v>
      </c>
      <c r="P68" s="103">
        <f t="shared" si="20"/>
        <v>48.3</v>
      </c>
    </row>
    <row r="69" spans="1:16" s="438" customFormat="1" ht="15.05">
      <c r="A69" s="442"/>
      <c r="B69" s="420"/>
      <c r="C69" s="443" t="s">
        <v>1075</v>
      </c>
      <c r="D69" s="444" t="s">
        <v>118</v>
      </c>
      <c r="E69" s="690">
        <v>17</v>
      </c>
      <c r="F69" s="440"/>
      <c r="G69" s="440"/>
      <c r="H69" s="436"/>
      <c r="I69" s="445">
        <v>3.2</v>
      </c>
      <c r="J69" s="445"/>
      <c r="K69" s="102">
        <f t="shared" si="56"/>
        <v>3.2</v>
      </c>
      <c r="L69" s="50">
        <f t="shared" si="16"/>
        <v>0</v>
      </c>
      <c r="M69" s="102">
        <f t="shared" si="17"/>
        <v>0</v>
      </c>
      <c r="N69" s="102">
        <f t="shared" si="18"/>
        <v>54.4</v>
      </c>
      <c r="O69" s="102">
        <f t="shared" si="19"/>
        <v>0</v>
      </c>
      <c r="P69" s="103">
        <f t="shared" si="20"/>
        <v>54.4</v>
      </c>
    </row>
    <row r="70" spans="1:16" s="438" customFormat="1" ht="15.05">
      <c r="A70" s="442"/>
      <c r="B70" s="420"/>
      <c r="C70" s="439" t="s">
        <v>1069</v>
      </c>
      <c r="D70" s="403" t="s">
        <v>884</v>
      </c>
      <c r="E70" s="683">
        <f>0.125*E65</f>
        <v>15.875</v>
      </c>
      <c r="F70" s="440"/>
      <c r="G70" s="440"/>
      <c r="H70" s="436"/>
      <c r="I70" s="445">
        <v>5.6</v>
      </c>
      <c r="J70" s="445"/>
      <c r="K70" s="102">
        <f t="shared" si="56"/>
        <v>5.6</v>
      </c>
      <c r="L70" s="50">
        <f t="shared" si="16"/>
        <v>0</v>
      </c>
      <c r="M70" s="102">
        <f t="shared" si="17"/>
        <v>0</v>
      </c>
      <c r="N70" s="102">
        <f t="shared" si="18"/>
        <v>88.9</v>
      </c>
      <c r="O70" s="102">
        <f t="shared" si="19"/>
        <v>0</v>
      </c>
      <c r="P70" s="103">
        <f t="shared" si="20"/>
        <v>88.9</v>
      </c>
    </row>
    <row r="71" spans="1:16" s="438" customFormat="1">
      <c r="A71" s="446"/>
      <c r="B71" s="447"/>
      <c r="C71" s="441" t="s">
        <v>1070</v>
      </c>
      <c r="D71" s="254" t="s">
        <v>884</v>
      </c>
      <c r="E71" s="691">
        <f>0.02*E65</f>
        <v>2.54</v>
      </c>
      <c r="F71" s="240"/>
      <c r="G71" s="240"/>
      <c r="H71" s="448"/>
      <c r="I71" s="258">
        <v>2</v>
      </c>
      <c r="J71" s="448">
        <f t="shared" ref="J71" si="57">0.1*H71</f>
        <v>0</v>
      </c>
      <c r="K71" s="102">
        <f t="shared" si="56"/>
        <v>2</v>
      </c>
      <c r="L71" s="50">
        <f t="shared" si="16"/>
        <v>0</v>
      </c>
      <c r="M71" s="102">
        <f t="shared" si="17"/>
        <v>0</v>
      </c>
      <c r="N71" s="102">
        <f t="shared" si="18"/>
        <v>5.08</v>
      </c>
      <c r="O71" s="102">
        <f t="shared" si="19"/>
        <v>0</v>
      </c>
      <c r="P71" s="103">
        <f t="shared" si="20"/>
        <v>5.08</v>
      </c>
    </row>
    <row r="72" spans="1:16" s="438" customFormat="1" ht="15.05">
      <c r="A72" s="401"/>
      <c r="B72" s="402"/>
      <c r="C72" s="439" t="s">
        <v>691</v>
      </c>
      <c r="D72" s="403" t="s">
        <v>721</v>
      </c>
      <c r="E72" s="683">
        <v>1</v>
      </c>
      <c r="F72" s="434"/>
      <c r="G72" s="440"/>
      <c r="H72" s="436"/>
      <c r="I72" s="437">
        <v>25</v>
      </c>
      <c r="J72" s="437"/>
      <c r="K72" s="102">
        <f t="shared" ref="K72" si="58">SUM(H72:J72)</f>
        <v>25</v>
      </c>
      <c r="L72" s="50">
        <f t="shared" ref="L72" si="59">ROUND(F72*E72,2)</f>
        <v>0</v>
      </c>
      <c r="M72" s="102">
        <f t="shared" ref="M72" si="60">ROUND(H72*E72,2)</f>
        <v>0</v>
      </c>
      <c r="N72" s="102">
        <f t="shared" ref="N72" si="61">ROUND(I72*E72,2)</f>
        <v>25</v>
      </c>
      <c r="O72" s="102">
        <f t="shared" ref="O72" si="62">ROUND(J72*E72,2)</f>
        <v>0</v>
      </c>
      <c r="P72" s="103">
        <f t="shared" ref="P72" si="63">SUM(M72:O72)</f>
        <v>25</v>
      </c>
    </row>
    <row r="73" spans="1:16" s="400" customFormat="1" ht="15.05">
      <c r="A73" s="401">
        <v>34</v>
      </c>
      <c r="B73" s="402"/>
      <c r="C73" s="408" t="s">
        <v>1076</v>
      </c>
      <c r="D73" s="403" t="s">
        <v>29</v>
      </c>
      <c r="E73" s="683">
        <v>1340</v>
      </c>
      <c r="F73" s="434">
        <v>0.25</v>
      </c>
      <c r="G73" s="434">
        <v>9.3000000000000007</v>
      </c>
      <c r="H73" s="576">
        <f>ROUND(G73*F73,2)</f>
        <v>2.33</v>
      </c>
      <c r="I73" s="576">
        <v>1.4849999999999999</v>
      </c>
      <c r="J73" s="576">
        <v>0.6120000000000001</v>
      </c>
      <c r="K73" s="102">
        <f>SUM(H73:J73)</f>
        <v>4.4269999999999996</v>
      </c>
      <c r="L73" s="50">
        <f>ROUND(F73*E73,2)</f>
        <v>335</v>
      </c>
      <c r="M73" s="102">
        <f>ROUND(H73*E73,2)</f>
        <v>3122.2</v>
      </c>
      <c r="N73" s="102">
        <f>ROUND(I73*E73,2)</f>
        <v>1989.9</v>
      </c>
      <c r="O73" s="102">
        <f>ROUND(J73*E73,2)</f>
        <v>820.08</v>
      </c>
      <c r="P73" s="103">
        <f>SUM(M73:O73)</f>
        <v>5932.18</v>
      </c>
    </row>
    <row r="74" spans="1:16" s="400" customFormat="1" ht="15.05">
      <c r="A74" s="401"/>
      <c r="B74" s="402"/>
      <c r="C74" s="449" t="s">
        <v>1085</v>
      </c>
      <c r="D74" s="403"/>
      <c r="E74" s="683"/>
      <c r="F74" s="434"/>
      <c r="G74" s="434">
        <v>0</v>
      </c>
      <c r="H74" s="576">
        <f t="shared" ref="H74:H76" si="64">ROUND(G74*F74,2)</f>
        <v>0</v>
      </c>
      <c r="I74" s="576">
        <v>0</v>
      </c>
      <c r="J74" s="576">
        <v>0</v>
      </c>
      <c r="K74" s="102">
        <f t="shared" ref="K74:K87" si="65">SUM(H74:J74)</f>
        <v>0</v>
      </c>
      <c r="L74" s="50">
        <f t="shared" ref="L74:L87" si="66">ROUND(F74*E74,2)</f>
        <v>0</v>
      </c>
      <c r="M74" s="102">
        <f t="shared" ref="M74:M87" si="67">ROUND(H74*E74,2)</f>
        <v>0</v>
      </c>
      <c r="N74" s="102">
        <f t="shared" ref="N74:N87" si="68">ROUND(I74*E74,2)</f>
        <v>0</v>
      </c>
      <c r="O74" s="102">
        <f t="shared" ref="O74:O87" si="69">ROUND(J74*E74,2)</f>
        <v>0</v>
      </c>
      <c r="P74" s="103">
        <f t="shared" ref="P74:P87" si="70">SUM(M74:O74)</f>
        <v>0</v>
      </c>
    </row>
    <row r="75" spans="1:16" s="400" customFormat="1" ht="24.9">
      <c r="A75" s="409">
        <v>35</v>
      </c>
      <c r="B75" s="115"/>
      <c r="C75" s="414" t="s">
        <v>1086</v>
      </c>
      <c r="D75" s="396" t="s">
        <v>111</v>
      </c>
      <c r="E75" s="686">
        <v>107.5</v>
      </c>
      <c r="F75" s="108">
        <v>0.7</v>
      </c>
      <c r="G75" s="434">
        <v>8.8000000000000007</v>
      </c>
      <c r="H75" s="399">
        <f t="shared" si="64"/>
        <v>6.16</v>
      </c>
      <c r="I75" s="578"/>
      <c r="J75" s="578">
        <v>1.65</v>
      </c>
      <c r="K75" s="102">
        <f t="shared" si="65"/>
        <v>7.8100000000000005</v>
      </c>
      <c r="L75" s="50">
        <f t="shared" si="66"/>
        <v>75.25</v>
      </c>
      <c r="M75" s="102">
        <f t="shared" si="67"/>
        <v>662.2</v>
      </c>
      <c r="N75" s="102">
        <f t="shared" si="68"/>
        <v>0</v>
      </c>
      <c r="O75" s="102">
        <f t="shared" si="69"/>
        <v>177.38</v>
      </c>
      <c r="P75" s="103">
        <f t="shared" si="70"/>
        <v>839.58</v>
      </c>
    </row>
    <row r="76" spans="1:16" s="400" customFormat="1" ht="24.9">
      <c r="A76" s="401">
        <v>36</v>
      </c>
      <c r="B76" s="402"/>
      <c r="C76" s="408" t="s">
        <v>1087</v>
      </c>
      <c r="D76" s="403" t="s">
        <v>29</v>
      </c>
      <c r="E76" s="683">
        <v>202</v>
      </c>
      <c r="F76" s="434">
        <v>0.25</v>
      </c>
      <c r="G76" s="434">
        <v>8.8000000000000007</v>
      </c>
      <c r="H76" s="576">
        <f t="shared" si="64"/>
        <v>2.2000000000000002</v>
      </c>
      <c r="I76" s="576">
        <v>0</v>
      </c>
      <c r="J76" s="576">
        <v>9.8000000000000007</v>
      </c>
      <c r="K76" s="102">
        <f t="shared" si="65"/>
        <v>12</v>
      </c>
      <c r="L76" s="50">
        <f t="shared" si="66"/>
        <v>50.5</v>
      </c>
      <c r="M76" s="102">
        <f t="shared" si="67"/>
        <v>444.4</v>
      </c>
      <c r="N76" s="102">
        <f t="shared" si="68"/>
        <v>0</v>
      </c>
      <c r="O76" s="102">
        <f t="shared" si="69"/>
        <v>1979.6</v>
      </c>
      <c r="P76" s="103">
        <f t="shared" si="70"/>
        <v>2424</v>
      </c>
    </row>
    <row r="77" spans="1:16" s="400" customFormat="1" ht="24.9">
      <c r="A77" s="409">
        <v>37</v>
      </c>
      <c r="B77" s="402"/>
      <c r="C77" s="408" t="s">
        <v>1047</v>
      </c>
      <c r="D77" s="403" t="s">
        <v>29</v>
      </c>
      <c r="E77" s="683">
        <v>37.5</v>
      </c>
      <c r="F77" s="434">
        <v>0.22</v>
      </c>
      <c r="G77" s="434">
        <v>9.6999999999999993</v>
      </c>
      <c r="H77" s="576">
        <f t="shared" ref="H77:H86" si="71">ROUND(G77*F77,2)</f>
        <v>2.13</v>
      </c>
      <c r="I77" s="576">
        <v>3.2</v>
      </c>
      <c r="J77" s="576">
        <v>4.5999999999999996</v>
      </c>
      <c r="K77" s="102">
        <f t="shared" si="65"/>
        <v>9.93</v>
      </c>
      <c r="L77" s="50">
        <f t="shared" si="66"/>
        <v>8.25</v>
      </c>
      <c r="M77" s="102">
        <f t="shared" si="67"/>
        <v>79.88</v>
      </c>
      <c r="N77" s="102">
        <f t="shared" si="68"/>
        <v>120</v>
      </c>
      <c r="O77" s="102">
        <f t="shared" si="69"/>
        <v>172.5</v>
      </c>
      <c r="P77" s="103">
        <f t="shared" si="70"/>
        <v>372.38</v>
      </c>
    </row>
    <row r="78" spans="1:16" s="400" customFormat="1" ht="24.9">
      <c r="A78" s="401">
        <v>38</v>
      </c>
      <c r="B78" s="402"/>
      <c r="C78" s="408" t="s">
        <v>1080</v>
      </c>
      <c r="D78" s="403" t="s">
        <v>29</v>
      </c>
      <c r="E78" s="683">
        <v>37.5</v>
      </c>
      <c r="F78" s="434">
        <v>0.1</v>
      </c>
      <c r="G78" s="434">
        <v>9.6999999999999993</v>
      </c>
      <c r="H78" s="576">
        <f t="shared" si="71"/>
        <v>0.97</v>
      </c>
      <c r="I78" s="576">
        <v>4.5999999999999996</v>
      </c>
      <c r="J78" s="576">
        <v>1.1499999999999999</v>
      </c>
      <c r="K78" s="102">
        <f t="shared" si="65"/>
        <v>6.7199999999999989</v>
      </c>
      <c r="L78" s="50">
        <f t="shared" si="66"/>
        <v>3.75</v>
      </c>
      <c r="M78" s="102">
        <f t="shared" si="67"/>
        <v>36.380000000000003</v>
      </c>
      <c r="N78" s="102">
        <f t="shared" si="68"/>
        <v>172.5</v>
      </c>
      <c r="O78" s="102">
        <f t="shared" si="69"/>
        <v>43.13</v>
      </c>
      <c r="P78" s="103">
        <f t="shared" si="70"/>
        <v>252.01</v>
      </c>
    </row>
    <row r="79" spans="1:16" s="400" customFormat="1" ht="15.05">
      <c r="A79" s="409">
        <v>39</v>
      </c>
      <c r="B79" s="402"/>
      <c r="C79" s="408" t="s">
        <v>1081</v>
      </c>
      <c r="D79" s="403" t="s">
        <v>29</v>
      </c>
      <c r="E79" s="683">
        <v>37.5</v>
      </c>
      <c r="F79" s="434">
        <v>0.06</v>
      </c>
      <c r="G79" s="434">
        <v>9.6999999999999993</v>
      </c>
      <c r="H79" s="576">
        <f t="shared" si="71"/>
        <v>0.57999999999999996</v>
      </c>
      <c r="I79" s="576">
        <v>0.6</v>
      </c>
      <c r="J79" s="576">
        <v>0.4</v>
      </c>
      <c r="K79" s="102">
        <f t="shared" si="65"/>
        <v>1.58</v>
      </c>
      <c r="L79" s="50">
        <f t="shared" si="66"/>
        <v>2.25</v>
      </c>
      <c r="M79" s="102">
        <f t="shared" si="67"/>
        <v>21.75</v>
      </c>
      <c r="N79" s="102">
        <f t="shared" si="68"/>
        <v>22.5</v>
      </c>
      <c r="O79" s="102">
        <f t="shared" si="69"/>
        <v>15</v>
      </c>
      <c r="P79" s="103">
        <f t="shared" si="70"/>
        <v>59.25</v>
      </c>
    </row>
    <row r="80" spans="1:16" s="400" customFormat="1" ht="15.05">
      <c r="A80" s="401">
        <v>40</v>
      </c>
      <c r="B80" s="402"/>
      <c r="C80" s="408" t="s">
        <v>1050</v>
      </c>
      <c r="D80" s="403" t="s">
        <v>29</v>
      </c>
      <c r="E80" s="683">
        <v>37.5</v>
      </c>
      <c r="F80" s="434">
        <v>0.8</v>
      </c>
      <c r="G80" s="434">
        <v>9.6999999999999993</v>
      </c>
      <c r="H80" s="576">
        <f t="shared" si="71"/>
        <v>7.76</v>
      </c>
      <c r="I80" s="576">
        <v>7.5</v>
      </c>
      <c r="J80" s="576">
        <v>1.4</v>
      </c>
      <c r="K80" s="102">
        <f t="shared" si="65"/>
        <v>16.66</v>
      </c>
      <c r="L80" s="50">
        <f t="shared" si="66"/>
        <v>30</v>
      </c>
      <c r="M80" s="102">
        <f t="shared" si="67"/>
        <v>291</v>
      </c>
      <c r="N80" s="102">
        <f t="shared" si="68"/>
        <v>281.25</v>
      </c>
      <c r="O80" s="102">
        <f t="shared" si="69"/>
        <v>52.5</v>
      </c>
      <c r="P80" s="103">
        <f t="shared" si="70"/>
        <v>624.75</v>
      </c>
    </row>
    <row r="81" spans="1:16" s="400" customFormat="1" ht="15.05">
      <c r="A81" s="409">
        <v>41</v>
      </c>
      <c r="B81" s="402"/>
      <c r="C81" s="408" t="s">
        <v>1084</v>
      </c>
      <c r="D81" s="403" t="s">
        <v>29</v>
      </c>
      <c r="E81" s="683">
        <v>118.5</v>
      </c>
      <c r="F81" s="434">
        <f>0.9*0.04</f>
        <v>3.6000000000000004E-2</v>
      </c>
      <c r="G81" s="434">
        <v>9.6999999999999993</v>
      </c>
      <c r="H81" s="576">
        <f t="shared" si="71"/>
        <v>0.35</v>
      </c>
      <c r="I81" s="576">
        <v>0.77</v>
      </c>
      <c r="J81" s="576">
        <f>3*0.04</f>
        <v>0.12</v>
      </c>
      <c r="K81" s="102">
        <f t="shared" si="65"/>
        <v>1.2400000000000002</v>
      </c>
      <c r="L81" s="50">
        <f t="shared" si="66"/>
        <v>4.2699999999999996</v>
      </c>
      <c r="M81" s="102">
        <f t="shared" si="67"/>
        <v>41.48</v>
      </c>
      <c r="N81" s="102">
        <f t="shared" si="68"/>
        <v>91.25</v>
      </c>
      <c r="O81" s="102">
        <f t="shared" si="69"/>
        <v>14.22</v>
      </c>
      <c r="P81" s="103">
        <f t="shared" si="70"/>
        <v>146.94999999999999</v>
      </c>
    </row>
    <row r="82" spans="1:16" s="400" customFormat="1" ht="15.05">
      <c r="A82" s="401">
        <v>42</v>
      </c>
      <c r="B82" s="402"/>
      <c r="C82" s="408" t="s">
        <v>1083</v>
      </c>
      <c r="D82" s="403" t="s">
        <v>29</v>
      </c>
      <c r="E82" s="683">
        <f>E81</f>
        <v>118.5</v>
      </c>
      <c r="F82" s="434">
        <v>0.08</v>
      </c>
      <c r="G82" s="434">
        <v>9.6999999999999993</v>
      </c>
      <c r="H82" s="576">
        <f t="shared" si="71"/>
        <v>0.78</v>
      </c>
      <c r="I82" s="576">
        <v>4.63</v>
      </c>
      <c r="J82" s="576">
        <f>3*0.04</f>
        <v>0.12</v>
      </c>
      <c r="K82" s="102">
        <f t="shared" si="65"/>
        <v>5.53</v>
      </c>
      <c r="L82" s="50">
        <f t="shared" si="66"/>
        <v>9.48</v>
      </c>
      <c r="M82" s="102">
        <f t="shared" si="67"/>
        <v>92.43</v>
      </c>
      <c r="N82" s="102">
        <f t="shared" si="68"/>
        <v>548.66</v>
      </c>
      <c r="O82" s="102">
        <f t="shared" si="69"/>
        <v>14.22</v>
      </c>
      <c r="P82" s="103">
        <f t="shared" si="70"/>
        <v>655.30999999999995</v>
      </c>
    </row>
    <row r="83" spans="1:16" s="400" customFormat="1" ht="24.9">
      <c r="A83" s="409">
        <v>43</v>
      </c>
      <c r="B83" s="402"/>
      <c r="C83" s="408" t="s">
        <v>1082</v>
      </c>
      <c r="D83" s="403" t="s">
        <v>29</v>
      </c>
      <c r="E83" s="683">
        <f>E82</f>
        <v>118.5</v>
      </c>
      <c r="F83" s="434">
        <v>0.33</v>
      </c>
      <c r="G83" s="434">
        <v>9.6999999999999993</v>
      </c>
      <c r="H83" s="576">
        <f t="shared" si="71"/>
        <v>3.2</v>
      </c>
      <c r="I83" s="576">
        <v>4.8</v>
      </c>
      <c r="J83" s="576">
        <v>2</v>
      </c>
      <c r="K83" s="102">
        <f t="shared" si="65"/>
        <v>10</v>
      </c>
      <c r="L83" s="50">
        <f t="shared" si="66"/>
        <v>39.11</v>
      </c>
      <c r="M83" s="102">
        <f t="shared" si="67"/>
        <v>379.2</v>
      </c>
      <c r="N83" s="102">
        <f t="shared" si="68"/>
        <v>568.79999999999995</v>
      </c>
      <c r="O83" s="102">
        <f t="shared" si="69"/>
        <v>237</v>
      </c>
      <c r="P83" s="103">
        <f t="shared" si="70"/>
        <v>1185</v>
      </c>
    </row>
    <row r="84" spans="1:16" s="400" customFormat="1" ht="24.9">
      <c r="A84" s="401">
        <v>44</v>
      </c>
      <c r="B84" s="402"/>
      <c r="C84" s="408" t="s">
        <v>1596</v>
      </c>
      <c r="D84" s="403" t="s">
        <v>29</v>
      </c>
      <c r="E84" s="683">
        <f>E83</f>
        <v>118.5</v>
      </c>
      <c r="F84" s="434">
        <v>0.17</v>
      </c>
      <c r="G84" s="434">
        <v>9.6999999999999993</v>
      </c>
      <c r="H84" s="576">
        <f t="shared" si="71"/>
        <v>1.65</v>
      </c>
      <c r="I84" s="576">
        <v>7.4</v>
      </c>
      <c r="J84" s="576">
        <v>2</v>
      </c>
      <c r="K84" s="102">
        <f t="shared" si="65"/>
        <v>11.05</v>
      </c>
      <c r="L84" s="50">
        <f t="shared" si="66"/>
        <v>20.149999999999999</v>
      </c>
      <c r="M84" s="102">
        <f t="shared" si="67"/>
        <v>195.53</v>
      </c>
      <c r="N84" s="102">
        <f t="shared" si="68"/>
        <v>876.9</v>
      </c>
      <c r="O84" s="102">
        <f t="shared" si="69"/>
        <v>237</v>
      </c>
      <c r="P84" s="103">
        <f t="shared" si="70"/>
        <v>1309.43</v>
      </c>
    </row>
    <row r="85" spans="1:16" s="400" customFormat="1" ht="15.05">
      <c r="A85" s="409">
        <v>45</v>
      </c>
      <c r="B85" s="402"/>
      <c r="C85" s="408" t="s">
        <v>1081</v>
      </c>
      <c r="D85" s="403" t="s">
        <v>29</v>
      </c>
      <c r="E85" s="683">
        <f>E84</f>
        <v>118.5</v>
      </c>
      <c r="F85" s="434">
        <v>0.06</v>
      </c>
      <c r="G85" s="434">
        <v>9.6999999999999993</v>
      </c>
      <c r="H85" s="576">
        <f t="shared" si="71"/>
        <v>0.57999999999999996</v>
      </c>
      <c r="I85" s="576">
        <v>0.6</v>
      </c>
      <c r="J85" s="576">
        <v>0.4</v>
      </c>
      <c r="K85" s="102">
        <f t="shared" si="65"/>
        <v>1.58</v>
      </c>
      <c r="L85" s="50">
        <f t="shared" si="66"/>
        <v>7.11</v>
      </c>
      <c r="M85" s="102">
        <f t="shared" si="67"/>
        <v>68.73</v>
      </c>
      <c r="N85" s="102">
        <f t="shared" si="68"/>
        <v>71.099999999999994</v>
      </c>
      <c r="O85" s="102">
        <f t="shared" si="69"/>
        <v>47.4</v>
      </c>
      <c r="P85" s="103">
        <f t="shared" si="70"/>
        <v>187.23</v>
      </c>
    </row>
    <row r="86" spans="1:16" s="400" customFormat="1" ht="15.05">
      <c r="A86" s="401">
        <v>46</v>
      </c>
      <c r="B86" s="402"/>
      <c r="C86" s="408" t="s">
        <v>1049</v>
      </c>
      <c r="D86" s="403" t="s">
        <v>29</v>
      </c>
      <c r="E86" s="683">
        <v>118.5</v>
      </c>
      <c r="F86" s="434">
        <v>0.8</v>
      </c>
      <c r="G86" s="434">
        <v>9.6999999999999993</v>
      </c>
      <c r="H86" s="576">
        <f t="shared" si="71"/>
        <v>7.76</v>
      </c>
      <c r="I86" s="576">
        <v>10.5</v>
      </c>
      <c r="J86" s="576">
        <v>1.4</v>
      </c>
      <c r="K86" s="102">
        <f t="shared" si="65"/>
        <v>19.659999999999997</v>
      </c>
      <c r="L86" s="50">
        <f t="shared" si="66"/>
        <v>94.8</v>
      </c>
      <c r="M86" s="102">
        <f t="shared" si="67"/>
        <v>919.56</v>
      </c>
      <c r="N86" s="102">
        <f t="shared" si="68"/>
        <v>1244.25</v>
      </c>
      <c r="O86" s="102">
        <f t="shared" si="69"/>
        <v>165.9</v>
      </c>
      <c r="P86" s="103">
        <f t="shared" si="70"/>
        <v>2329.71</v>
      </c>
    </row>
    <row r="87" spans="1:16" s="400" customFormat="1" ht="24.9">
      <c r="A87" s="409">
        <v>47</v>
      </c>
      <c r="B87" s="115"/>
      <c r="C87" s="414" t="s">
        <v>1054</v>
      </c>
      <c r="D87" s="396" t="s">
        <v>111</v>
      </c>
      <c r="E87" s="686">
        <v>42</v>
      </c>
      <c r="F87" s="108">
        <v>0.85</v>
      </c>
      <c r="G87" s="434">
        <v>9.6999999999999993</v>
      </c>
      <c r="H87" s="399">
        <f t="shared" ref="H87" si="72">ROUND(G87*F87,2)</f>
        <v>8.25</v>
      </c>
      <c r="I87" s="578">
        <v>4.9000000000000004</v>
      </c>
      <c r="J87" s="578">
        <v>1.65</v>
      </c>
      <c r="K87" s="102">
        <f t="shared" si="65"/>
        <v>14.8</v>
      </c>
      <c r="L87" s="50">
        <f t="shared" si="66"/>
        <v>35.700000000000003</v>
      </c>
      <c r="M87" s="102">
        <f t="shared" si="67"/>
        <v>346.5</v>
      </c>
      <c r="N87" s="102">
        <f t="shared" si="68"/>
        <v>205.8</v>
      </c>
      <c r="O87" s="102">
        <f t="shared" si="69"/>
        <v>69.3</v>
      </c>
      <c r="P87" s="103">
        <f t="shared" si="70"/>
        <v>621.59999999999991</v>
      </c>
    </row>
    <row r="88" spans="1:16" s="400" customFormat="1" ht="15.05">
      <c r="A88" s="401">
        <v>48</v>
      </c>
      <c r="B88" s="402"/>
      <c r="C88" s="408" t="s">
        <v>1076</v>
      </c>
      <c r="D88" s="403" t="s">
        <v>29</v>
      </c>
      <c r="E88" s="683">
        <v>395</v>
      </c>
      <c r="F88" s="434">
        <v>0.25</v>
      </c>
      <c r="G88" s="434">
        <v>9.6999999999999993</v>
      </c>
      <c r="H88" s="576">
        <f>ROUND(G88*F88,2)</f>
        <v>2.4300000000000002</v>
      </c>
      <c r="I88" s="576">
        <v>1.4849999999999999</v>
      </c>
      <c r="J88" s="576">
        <v>0.6120000000000001</v>
      </c>
      <c r="K88" s="102">
        <f>SUM(H88:J88)</f>
        <v>4.5270000000000001</v>
      </c>
      <c r="L88" s="50">
        <f>ROUND(F88*E88,2)</f>
        <v>98.75</v>
      </c>
      <c r="M88" s="102">
        <f>ROUND(H88*E88,2)</f>
        <v>959.85</v>
      </c>
      <c r="N88" s="102">
        <f>ROUND(I88*E88,2)</f>
        <v>586.58000000000004</v>
      </c>
      <c r="O88" s="102">
        <f>ROUND(J88*E88,2)</f>
        <v>241.74</v>
      </c>
      <c r="P88" s="103">
        <f>SUM(M88:O88)</f>
        <v>1788.17</v>
      </c>
    </row>
    <row r="89" spans="1:16">
      <c r="A89" s="34"/>
      <c r="B89" s="116"/>
      <c r="C89" s="36"/>
      <c r="D89" s="37"/>
      <c r="E89" s="38"/>
      <c r="F89" s="39">
        <v>0</v>
      </c>
      <c r="G89" s="39">
        <v>0</v>
      </c>
      <c r="H89" s="39"/>
      <c r="I89" s="38"/>
      <c r="J89" s="38"/>
      <c r="K89" s="38"/>
      <c r="L89" s="38"/>
      <c r="M89" s="38"/>
      <c r="N89" s="38"/>
      <c r="O89" s="38"/>
      <c r="P89" s="40"/>
    </row>
    <row r="90" spans="1:16" ht="15.05" customHeight="1">
      <c r="A90" s="41"/>
      <c r="B90" s="117"/>
      <c r="C90" s="932" t="s">
        <v>99</v>
      </c>
      <c r="D90" s="933"/>
      <c r="E90" s="933"/>
      <c r="F90" s="933"/>
      <c r="G90" s="933"/>
      <c r="H90" s="933"/>
      <c r="I90" s="933"/>
      <c r="J90" s="933"/>
      <c r="K90" s="933"/>
      <c r="L90" s="42">
        <f>SUM(L13:L89)</f>
        <v>9543.5300000000007</v>
      </c>
      <c r="M90" s="42">
        <f>SUM(M13:M89)</f>
        <v>90933.369999999981</v>
      </c>
      <c r="N90" s="42">
        <f>SUM(N13:N89)</f>
        <v>135905.25</v>
      </c>
      <c r="O90" s="42">
        <f>SUM(O13:O89)</f>
        <v>46206.820000000007</v>
      </c>
      <c r="P90" s="42">
        <f>SUM(P13:P89)</f>
        <v>273045.43999999989</v>
      </c>
    </row>
    <row r="91" spans="1:16" s="125" customFormat="1">
      <c r="I91" s="146"/>
    </row>
    <row r="92" spans="1:16" s="122" customFormat="1" ht="12.8" customHeight="1">
      <c r="B92" s="147" t="s">
        <v>54</v>
      </c>
    </row>
    <row r="93" spans="1:16" s="122" customFormat="1" ht="45" customHeight="1">
      <c r="A93"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93" s="926"/>
      <c r="C93" s="926"/>
      <c r="D93" s="926"/>
      <c r="E93" s="926"/>
      <c r="F93" s="926"/>
      <c r="G93" s="926"/>
      <c r="H93" s="926"/>
      <c r="I93" s="926"/>
      <c r="J93" s="926"/>
      <c r="K93" s="926"/>
      <c r="L93" s="926"/>
      <c r="M93" s="926"/>
      <c r="N93" s="926"/>
      <c r="O93" s="926"/>
      <c r="P93" s="926"/>
    </row>
    <row r="94" spans="1:16" s="122" customFormat="1" ht="79.55" customHeight="1">
      <c r="A94" s="925">
        <f>'2,1'!$A$118</f>
        <v>0</v>
      </c>
      <c r="B94" s="925"/>
      <c r="C94" s="925"/>
      <c r="D94" s="925"/>
      <c r="E94" s="925"/>
      <c r="F94" s="925"/>
      <c r="G94" s="925"/>
      <c r="H94" s="925"/>
      <c r="I94" s="925"/>
      <c r="J94" s="925"/>
      <c r="K94" s="925"/>
      <c r="L94" s="925"/>
      <c r="M94" s="925"/>
      <c r="N94" s="925"/>
      <c r="O94" s="925"/>
      <c r="P94" s="925"/>
    </row>
    <row r="95" spans="1:16" s="122" customFormat="1" ht="12.8" customHeight="1">
      <c r="B95" s="148"/>
    </row>
    <row r="96" spans="1:16" s="122" customFormat="1" ht="12.8" customHeight="1">
      <c r="B96" s="148"/>
    </row>
    <row r="97" spans="2:16" s="125" customFormat="1">
      <c r="B97" s="125" t="s">
        <v>8</v>
      </c>
      <c r="L97" s="157" t="str">
        <f>Koptame!B39</f>
        <v>Pārbaudīja:</v>
      </c>
      <c r="M97" s="157"/>
      <c r="N97" s="157"/>
      <c r="O97" s="157"/>
      <c r="P97" s="157"/>
    </row>
    <row r="98" spans="2:16" s="125" customFormat="1">
      <c r="C98" s="164" t="str">
        <f>Koptame!C34</f>
        <v>Arnis Gailītis</v>
      </c>
      <c r="L98" s="164"/>
      <c r="M98" s="922" t="str">
        <f>Koptame!C40</f>
        <v>Dzintra Cīrule</v>
      </c>
      <c r="N98" s="922"/>
      <c r="O98" s="157"/>
      <c r="P98" s="157"/>
    </row>
    <row r="99" spans="2:16" s="125" customFormat="1">
      <c r="C99" s="165" t="str">
        <f>Koptame!C35</f>
        <v>Sertifikāta Nr.20-5643</v>
      </c>
      <c r="L99" s="165"/>
      <c r="M99" s="923" t="str">
        <f>Koptame!C41</f>
        <v>Sertifikāta Nr.10-0363</v>
      </c>
      <c r="N99" s="923"/>
      <c r="O99" s="157"/>
      <c r="P99" s="157"/>
    </row>
    <row r="100" spans="2:16" s="125" customFormat="1" collapsed="1">
      <c r="B100" s="146"/>
      <c r="F100" s="146"/>
      <c r="G100" s="146"/>
    </row>
  </sheetData>
  <mergeCells count="17">
    <mergeCell ref="F11:K11"/>
    <mergeCell ref="L11:P11"/>
    <mergeCell ref="C90:K90"/>
    <mergeCell ref="M99:N99"/>
    <mergeCell ref="M98:N98"/>
    <mergeCell ref="A94:P94"/>
    <mergeCell ref="A93:P93"/>
    <mergeCell ref="A11:A12"/>
    <mergeCell ref="B11:B12"/>
    <mergeCell ref="C11:C12"/>
    <mergeCell ref="D11:D12"/>
    <mergeCell ref="E11:E12"/>
    <mergeCell ref="A2:P2"/>
    <mergeCell ref="D3:P3"/>
    <mergeCell ref="D4:P4"/>
    <mergeCell ref="D5:P5"/>
    <mergeCell ref="L9:O9"/>
  </mergeCells>
  <conditionalFormatting sqref="I43">
    <cfRule type="expression" dxfId="83" priority="124" stopIfTrue="1">
      <formula>I43=#REF!=FALSE</formula>
    </cfRule>
  </conditionalFormatting>
  <conditionalFormatting sqref="I43">
    <cfRule type="expression" dxfId="82" priority="120">
      <formula>#REF!&gt;0</formula>
    </cfRule>
    <cfRule type="expression" dxfId="81" priority="121">
      <formula>#REF!=3</formula>
    </cfRule>
    <cfRule type="expression" dxfId="80" priority="122">
      <formula>#REF!=2</formula>
    </cfRule>
    <cfRule type="expression" dxfId="79" priority="123">
      <formula>#REF!=1</formula>
    </cfRule>
  </conditionalFormatting>
  <conditionalFormatting sqref="I44">
    <cfRule type="expression" dxfId="78" priority="119" stopIfTrue="1">
      <formula>I44=#REF!=FALSE</formula>
    </cfRule>
  </conditionalFormatting>
  <conditionalFormatting sqref="I44">
    <cfRule type="expression" dxfId="77" priority="115">
      <formula>#REF!&gt;0</formula>
    </cfRule>
    <cfRule type="expression" dxfId="76" priority="116">
      <formula>#REF!=3</formula>
    </cfRule>
    <cfRule type="expression" dxfId="75" priority="117">
      <formula>#REF!=2</formula>
    </cfRule>
    <cfRule type="expression" dxfId="74" priority="118">
      <formula>#REF!=1</formula>
    </cfRule>
  </conditionalFormatting>
  <conditionalFormatting sqref="I14">
    <cfRule type="expression" dxfId="73" priority="90" stopIfTrue="1">
      <formula>I14=#REF!=FALSE</formula>
    </cfRule>
  </conditionalFormatting>
  <conditionalFormatting sqref="I46:I47">
    <cfRule type="expression" dxfId="72" priority="104" stopIfTrue="1">
      <formula>I46=#REF!=FALSE</formula>
    </cfRule>
  </conditionalFormatting>
  <conditionalFormatting sqref="I46">
    <cfRule type="expression" dxfId="71" priority="100">
      <formula>#REF!&gt;0</formula>
    </cfRule>
    <cfRule type="expression" dxfId="70" priority="101">
      <formula>#REF!=3</formula>
    </cfRule>
    <cfRule type="expression" dxfId="69" priority="102">
      <formula>#REF!=2</formula>
    </cfRule>
    <cfRule type="expression" dxfId="68" priority="103">
      <formula>#REF!=1</formula>
    </cfRule>
  </conditionalFormatting>
  <conditionalFormatting sqref="I47">
    <cfRule type="expression" dxfId="67" priority="96">
      <formula>#REF!&gt;0</formula>
    </cfRule>
    <cfRule type="expression" dxfId="66" priority="97">
      <formula>#REF!=3</formula>
    </cfRule>
    <cfRule type="expression" dxfId="65" priority="98">
      <formula>#REF!=2</formula>
    </cfRule>
    <cfRule type="expression" dxfId="64" priority="99">
      <formula>#REF!=1</formula>
    </cfRule>
  </conditionalFormatting>
  <conditionalFormatting sqref="I14">
    <cfRule type="expression" dxfId="63" priority="86">
      <formula>#REF!&gt;0</formula>
    </cfRule>
    <cfRule type="expression" dxfId="62" priority="87">
      <formula>#REF!=3</formula>
    </cfRule>
    <cfRule type="expression" dxfId="61" priority="88">
      <formula>#REF!=2</formula>
    </cfRule>
    <cfRule type="expression" dxfId="60" priority="89">
      <formula>#REF!=1</formula>
    </cfRule>
  </conditionalFormatting>
  <conditionalFormatting sqref="I51">
    <cfRule type="expression" dxfId="59" priority="75" stopIfTrue="1">
      <formula>I51=#REF!=FALSE</formula>
    </cfRule>
  </conditionalFormatting>
  <conditionalFormatting sqref="I51">
    <cfRule type="expression" dxfId="58" priority="71">
      <formula>#REF!&gt;0</formula>
    </cfRule>
    <cfRule type="expression" dxfId="57" priority="72">
      <formula>#REF!=3</formula>
    </cfRule>
    <cfRule type="expression" dxfId="56" priority="73">
      <formula>#REF!=2</formula>
    </cfRule>
    <cfRule type="expression" dxfId="55" priority="74">
      <formula>#REF!=1</formula>
    </cfRule>
  </conditionalFormatting>
  <conditionalFormatting sqref="I55">
    <cfRule type="expression" dxfId="54" priority="67">
      <formula>#REF!&gt;0</formula>
    </cfRule>
    <cfRule type="expression" dxfId="53" priority="68">
      <formula>#REF!=3</formula>
    </cfRule>
    <cfRule type="expression" dxfId="52" priority="69">
      <formula>#REF!=2</formula>
    </cfRule>
    <cfRule type="expression" dxfId="51" priority="70">
      <formula>#REF!=1</formula>
    </cfRule>
  </conditionalFormatting>
  <conditionalFormatting sqref="I55">
    <cfRule type="expression" dxfId="50" priority="66" stopIfTrue="1">
      <formula>I55=#REF!=FALSE</formula>
    </cfRule>
  </conditionalFormatting>
  <conditionalFormatting sqref="I52">
    <cfRule type="expression" dxfId="49" priority="50" stopIfTrue="1">
      <formula>I52=#REF!=FALSE</formula>
    </cfRule>
  </conditionalFormatting>
  <conditionalFormatting sqref="I52">
    <cfRule type="expression" dxfId="48" priority="46">
      <formula>#REF!&gt;0</formula>
    </cfRule>
    <cfRule type="expression" dxfId="47" priority="47">
      <formula>#REF!=3</formula>
    </cfRule>
    <cfRule type="expression" dxfId="46" priority="48">
      <formula>#REF!=2</formula>
    </cfRule>
    <cfRule type="expression" dxfId="45" priority="49">
      <formula>#REF!=1</formula>
    </cfRule>
  </conditionalFormatting>
  <conditionalFormatting sqref="I53">
    <cfRule type="expression" dxfId="44" priority="45" stopIfTrue="1">
      <formula>I53=#REF!=FALSE</formula>
    </cfRule>
  </conditionalFormatting>
  <conditionalFormatting sqref="I53">
    <cfRule type="expression" dxfId="43" priority="41">
      <formula>#REF!&gt;0</formula>
    </cfRule>
    <cfRule type="expression" dxfId="42" priority="42">
      <formula>#REF!=3</formula>
    </cfRule>
    <cfRule type="expression" dxfId="41" priority="43">
      <formula>#REF!=2</formula>
    </cfRule>
    <cfRule type="expression" dxfId="40" priority="44">
      <formula>#REF!=1</formula>
    </cfRule>
  </conditionalFormatting>
  <conditionalFormatting sqref="I54">
    <cfRule type="expression" dxfId="39" priority="40" stopIfTrue="1">
      <formula>I54=#REF!=FALSE</formula>
    </cfRule>
  </conditionalFormatting>
  <conditionalFormatting sqref="I54">
    <cfRule type="expression" dxfId="38" priority="36">
      <formula>#REF!&gt;0</formula>
    </cfRule>
    <cfRule type="expression" dxfId="37" priority="37">
      <formula>#REF!=3</formula>
    </cfRule>
    <cfRule type="expression" dxfId="36" priority="38">
      <formula>#REF!=2</formula>
    </cfRule>
    <cfRule type="expression" dxfId="35" priority="39">
      <formula>#REF!=1</formula>
    </cfRule>
  </conditionalFormatting>
  <conditionalFormatting sqref="I50">
    <cfRule type="expression" dxfId="34" priority="35" stopIfTrue="1">
      <formula>I50=#REF!=FALSE</formula>
    </cfRule>
  </conditionalFormatting>
  <conditionalFormatting sqref="I50">
    <cfRule type="expression" dxfId="33" priority="31">
      <formula>#REF!&gt;0</formula>
    </cfRule>
    <cfRule type="expression" dxfId="32" priority="32">
      <formula>#REF!=3</formula>
    </cfRule>
    <cfRule type="expression" dxfId="31" priority="33">
      <formula>#REF!=2</formula>
    </cfRule>
    <cfRule type="expression" dxfId="30" priority="34">
      <formula>#REF!=1</formula>
    </cfRule>
  </conditionalFormatting>
  <conditionalFormatting sqref="I56:I64">
    <cfRule type="expression" dxfId="29" priority="30" stopIfTrue="1">
      <formula>I56=#REF!=FALSE</formula>
    </cfRule>
  </conditionalFormatting>
  <conditionalFormatting sqref="I56:I64">
    <cfRule type="expression" dxfId="28" priority="26">
      <formula>#REF!&gt;0</formula>
    </cfRule>
    <cfRule type="expression" dxfId="27" priority="27">
      <formula>#REF!=3</formula>
    </cfRule>
    <cfRule type="expression" dxfId="26" priority="28">
      <formula>#REF!=2</formula>
    </cfRule>
    <cfRule type="expression" dxfId="25" priority="29">
      <formula>#REF!=1</formula>
    </cfRule>
  </conditionalFormatting>
  <conditionalFormatting sqref="I65:I70">
    <cfRule type="expression" dxfId="24" priority="22">
      <formula>#REF!&gt;0</formula>
    </cfRule>
    <cfRule type="expression" dxfId="23" priority="23">
      <formula>#REF!=3</formula>
    </cfRule>
    <cfRule type="expression" dxfId="22" priority="24">
      <formula>#REF!=2</formula>
    </cfRule>
    <cfRule type="expression" dxfId="21" priority="25">
      <formula>#REF!=1</formula>
    </cfRule>
  </conditionalFormatting>
  <conditionalFormatting sqref="I65:I70">
    <cfRule type="expression" dxfId="20" priority="21" stopIfTrue="1">
      <formula>I65=#REF!=FALSE</formula>
    </cfRule>
  </conditionalFormatting>
  <conditionalFormatting sqref="I72">
    <cfRule type="expression" dxfId="19" priority="20" stopIfTrue="1">
      <formula>I72=#REF!=FALSE</formula>
    </cfRule>
  </conditionalFormatting>
  <conditionalFormatting sqref="I72">
    <cfRule type="expression" dxfId="18" priority="16">
      <formula>#REF!&gt;0</formula>
    </cfRule>
    <cfRule type="expression" dxfId="17" priority="17">
      <formula>#REF!=3</formula>
    </cfRule>
    <cfRule type="expression" dxfId="16" priority="18">
      <formula>#REF!=2</formula>
    </cfRule>
    <cfRule type="expression" dxfId="15" priority="19">
      <formula>#REF!=1</formula>
    </cfRule>
  </conditionalFormatting>
  <conditionalFormatting sqref="I75">
    <cfRule type="expression" dxfId="14" priority="15" stopIfTrue="1">
      <formula>I75=#REF!=FALSE</formula>
    </cfRule>
  </conditionalFormatting>
  <conditionalFormatting sqref="I75">
    <cfRule type="expression" dxfId="13" priority="11">
      <formula>#REF!&gt;0</formula>
    </cfRule>
    <cfRule type="expression" dxfId="12" priority="12">
      <formula>#REF!=3</formula>
    </cfRule>
    <cfRule type="expression" dxfId="11" priority="13">
      <formula>#REF!=2</formula>
    </cfRule>
    <cfRule type="expression" dxfId="10" priority="14">
      <formula>#REF!=1</formula>
    </cfRule>
  </conditionalFormatting>
  <conditionalFormatting sqref="I87">
    <cfRule type="expression" dxfId="9" priority="10" stopIfTrue="1">
      <formula>I87=#REF!=FALSE</formula>
    </cfRule>
  </conditionalFormatting>
  <conditionalFormatting sqref="I87">
    <cfRule type="expression" dxfId="8" priority="6">
      <formula>#REF!&gt;0</formula>
    </cfRule>
    <cfRule type="expression" dxfId="7" priority="7">
      <formula>#REF!=3</formula>
    </cfRule>
    <cfRule type="expression" dxfId="6" priority="8">
      <formula>#REF!=2</formula>
    </cfRule>
    <cfRule type="expression" dxfId="5" priority="9">
      <formula>#REF!=1</formula>
    </cfRule>
  </conditionalFormatting>
  <conditionalFormatting sqref="I45">
    <cfRule type="expression" dxfId="4" priority="5" stopIfTrue="1">
      <formula>I45=#REF!=FALSE</formula>
    </cfRule>
  </conditionalFormatting>
  <conditionalFormatting sqref="I45">
    <cfRule type="expression" dxfId="3" priority="1">
      <formula>#REF!&gt;0</formula>
    </cfRule>
    <cfRule type="expression" dxfId="2" priority="2">
      <formula>#REF!=3</formula>
    </cfRule>
    <cfRule type="expression" dxfId="1" priority="3">
      <formula>#REF!=2</formula>
    </cfRule>
    <cfRule type="expression" dxfId="0" priority="4">
      <formula>#REF!=1</formula>
    </cfRule>
  </conditionalFormatting>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235"/>
  <sheetViews>
    <sheetView showZeros="0" view="pageBreakPreview" topLeftCell="A211" zoomScaleNormal="100" zoomScaleSheetLayoutView="100" workbookViewId="0">
      <selection activeCell="A223" sqref="A14:E223"/>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21" t="str">
        <f>kops1!B22</f>
        <v>1,2</v>
      </c>
      <c r="I1" s="53"/>
    </row>
    <row r="2" spans="1:16" s="24" customFormat="1">
      <c r="A2" s="919" t="str">
        <f>C13</f>
        <v>Pamati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P225</f>
        <v>259746.8100000002</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kops1!C22</f>
        <v>Pamati</v>
      </c>
      <c r="D13" s="14"/>
      <c r="E13" s="15"/>
      <c r="F13" s="30">
        <v>0</v>
      </c>
      <c r="G13" s="29">
        <v>0</v>
      </c>
      <c r="H13" s="31">
        <v>0</v>
      </c>
      <c r="I13" s="29">
        <v>0</v>
      </c>
      <c r="J13" s="29">
        <v>0</v>
      </c>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15.05">
      <c r="A14" s="470">
        <v>0</v>
      </c>
      <c r="B14" s="471"/>
      <c r="C14" s="472" t="s">
        <v>1108</v>
      </c>
      <c r="D14" s="471"/>
      <c r="E14" s="473"/>
      <c r="F14" s="462"/>
      <c r="G14" s="463"/>
      <c r="H14" s="455"/>
      <c r="I14" s="464"/>
      <c r="J14" s="464"/>
      <c r="K14" s="102">
        <f>SUM(H14:J14)</f>
        <v>0</v>
      </c>
      <c r="L14" s="50">
        <f>ROUND(F14*E14,2)</f>
        <v>0</v>
      </c>
      <c r="M14" s="102">
        <f>ROUND(H14*E14,2)</f>
        <v>0</v>
      </c>
      <c r="N14" s="102">
        <f>ROUND(I14*E14,2)</f>
        <v>0</v>
      </c>
      <c r="O14" s="102">
        <f>ROUND(J14*E14,2)</f>
        <v>0</v>
      </c>
      <c r="P14" s="103">
        <f>SUM(M14:O14)</f>
        <v>0</v>
      </c>
    </row>
    <row r="15" spans="1:16" s="56" customFormat="1" ht="121.1" customHeight="1">
      <c r="A15" s="474">
        <v>1</v>
      </c>
      <c r="B15" s="475"/>
      <c r="C15" s="476" t="s">
        <v>1109</v>
      </c>
      <c r="D15" s="477" t="s">
        <v>1110</v>
      </c>
      <c r="E15" s="478">
        <v>191</v>
      </c>
      <c r="F15" s="462">
        <v>24</v>
      </c>
      <c r="G15" s="463">
        <v>9.5</v>
      </c>
      <c r="H15" s="455">
        <f t="shared" ref="H15:H46" si="6">ROUND(F15*G15,2)</f>
        <v>228</v>
      </c>
      <c r="I15" s="464">
        <v>319</v>
      </c>
      <c r="J15" s="464">
        <v>220</v>
      </c>
      <c r="K15" s="102">
        <f t="shared" ref="K15:K78" si="7">SUM(H15:J15)</f>
        <v>767</v>
      </c>
      <c r="L15" s="50">
        <f t="shared" ref="L15:L78" si="8">ROUND(F15*E15,2)</f>
        <v>4584</v>
      </c>
      <c r="M15" s="102">
        <f t="shared" ref="M15:M78" si="9">ROUND(H15*E15,2)</f>
        <v>43548</v>
      </c>
      <c r="N15" s="102">
        <f t="shared" ref="N15:N78" si="10">ROUND(I15*E15,2)</f>
        <v>60929</v>
      </c>
      <c r="O15" s="102">
        <f t="shared" ref="O15:O78" si="11">ROUND(J15*E15,2)</f>
        <v>42020</v>
      </c>
      <c r="P15" s="103">
        <f t="shared" ref="P15:P78" si="12">SUM(M15:O15)</f>
        <v>146497</v>
      </c>
    </row>
    <row r="16" spans="1:16" s="56" customFormat="1" ht="15.05">
      <c r="A16" s="470">
        <v>0</v>
      </c>
      <c r="B16" s="471"/>
      <c r="C16" s="479"/>
      <c r="D16" s="471"/>
      <c r="E16" s="473"/>
      <c r="F16" s="462"/>
      <c r="G16" s="463"/>
      <c r="H16" s="455">
        <f t="shared" si="6"/>
        <v>0</v>
      </c>
      <c r="I16" s="464"/>
      <c r="J16" s="464"/>
      <c r="K16" s="102">
        <f t="shared" si="7"/>
        <v>0</v>
      </c>
      <c r="L16" s="50">
        <f t="shared" si="8"/>
        <v>0</v>
      </c>
      <c r="M16" s="102">
        <f t="shared" si="9"/>
        <v>0</v>
      </c>
      <c r="N16" s="102">
        <f t="shared" si="10"/>
        <v>0</v>
      </c>
      <c r="O16" s="102">
        <f t="shared" si="11"/>
        <v>0</v>
      </c>
      <c r="P16" s="103">
        <f t="shared" si="12"/>
        <v>0</v>
      </c>
    </row>
    <row r="17" spans="1:16" s="56" customFormat="1" ht="15.05">
      <c r="A17" s="470">
        <v>0</v>
      </c>
      <c r="B17" s="471"/>
      <c r="C17" s="472" t="s">
        <v>1111</v>
      </c>
      <c r="D17" s="471"/>
      <c r="E17" s="473"/>
      <c r="F17" s="462"/>
      <c r="G17" s="463"/>
      <c r="H17" s="455">
        <f t="shared" si="6"/>
        <v>0</v>
      </c>
      <c r="I17" s="464"/>
      <c r="J17" s="464"/>
      <c r="K17" s="102">
        <f t="shared" si="7"/>
        <v>0</v>
      </c>
      <c r="L17" s="50">
        <f t="shared" si="8"/>
        <v>0</v>
      </c>
      <c r="M17" s="102">
        <f t="shared" si="9"/>
        <v>0</v>
      </c>
      <c r="N17" s="102">
        <f t="shared" si="10"/>
        <v>0</v>
      </c>
      <c r="O17" s="102">
        <f t="shared" si="11"/>
        <v>0</v>
      </c>
      <c r="P17" s="103">
        <f t="shared" si="12"/>
        <v>0</v>
      </c>
    </row>
    <row r="18" spans="1:16" s="56" customFormat="1" ht="15.05">
      <c r="A18" s="470">
        <v>0</v>
      </c>
      <c r="B18" s="471"/>
      <c r="C18" s="480" t="s">
        <v>1112</v>
      </c>
      <c r="D18" s="471"/>
      <c r="E18" s="473"/>
      <c r="F18" s="462"/>
      <c r="G18" s="463"/>
      <c r="H18" s="455">
        <f t="shared" si="6"/>
        <v>0</v>
      </c>
      <c r="I18" s="464"/>
      <c r="J18" s="464"/>
      <c r="K18" s="102">
        <f t="shared" si="7"/>
        <v>0</v>
      </c>
      <c r="L18" s="50">
        <f t="shared" si="8"/>
        <v>0</v>
      </c>
      <c r="M18" s="102">
        <f t="shared" si="9"/>
        <v>0</v>
      </c>
      <c r="N18" s="102">
        <f t="shared" si="10"/>
        <v>0</v>
      </c>
      <c r="O18" s="102">
        <f t="shared" si="11"/>
        <v>0</v>
      </c>
      <c r="P18" s="103">
        <f t="shared" si="12"/>
        <v>0</v>
      </c>
    </row>
    <row r="19" spans="1:16" s="56" customFormat="1" ht="15.05">
      <c r="A19" s="481">
        <v>2</v>
      </c>
      <c r="B19" s="482"/>
      <c r="C19" s="483" t="s">
        <v>1113</v>
      </c>
      <c r="D19" s="482" t="s">
        <v>884</v>
      </c>
      <c r="E19" s="473">
        <v>5.4</v>
      </c>
      <c r="F19" s="462">
        <v>1</v>
      </c>
      <c r="G19" s="463">
        <v>9.5</v>
      </c>
      <c r="H19" s="455">
        <f>ROUND(F19*G19,2)</f>
        <v>9.5</v>
      </c>
      <c r="I19" s="464">
        <v>22.8</v>
      </c>
      <c r="J19" s="464">
        <v>1.5</v>
      </c>
      <c r="K19" s="102">
        <f t="shared" si="7"/>
        <v>33.799999999999997</v>
      </c>
      <c r="L19" s="50">
        <f t="shared" si="8"/>
        <v>5.4</v>
      </c>
      <c r="M19" s="102">
        <f t="shared" si="9"/>
        <v>51.3</v>
      </c>
      <c r="N19" s="102">
        <f t="shared" si="10"/>
        <v>123.12</v>
      </c>
      <c r="O19" s="102">
        <f t="shared" si="11"/>
        <v>8.1</v>
      </c>
      <c r="P19" s="103">
        <f t="shared" si="12"/>
        <v>182.52</v>
      </c>
    </row>
    <row r="20" spans="1:16" s="56" customFormat="1" ht="15.05">
      <c r="A20" s="481">
        <v>3</v>
      </c>
      <c r="B20" s="482"/>
      <c r="C20" s="483" t="s">
        <v>1114</v>
      </c>
      <c r="D20" s="482" t="s">
        <v>884</v>
      </c>
      <c r="E20" s="473">
        <v>1.35</v>
      </c>
      <c r="F20" s="462">
        <v>3.32</v>
      </c>
      <c r="G20" s="463">
        <v>9.5</v>
      </c>
      <c r="H20" s="455">
        <f t="shared" si="6"/>
        <v>31.54</v>
      </c>
      <c r="I20" s="464"/>
      <c r="J20" s="464">
        <v>14</v>
      </c>
      <c r="K20" s="102">
        <f t="shared" si="7"/>
        <v>45.54</v>
      </c>
      <c r="L20" s="50">
        <f t="shared" si="8"/>
        <v>4.4800000000000004</v>
      </c>
      <c r="M20" s="102">
        <f t="shared" si="9"/>
        <v>42.58</v>
      </c>
      <c r="N20" s="102">
        <f t="shared" si="10"/>
        <v>0</v>
      </c>
      <c r="O20" s="102">
        <f t="shared" si="11"/>
        <v>18.899999999999999</v>
      </c>
      <c r="P20" s="103">
        <f t="shared" si="12"/>
        <v>61.48</v>
      </c>
    </row>
    <row r="21" spans="1:16" s="56" customFormat="1" ht="15.05">
      <c r="A21" s="481">
        <v>0</v>
      </c>
      <c r="B21" s="482"/>
      <c r="C21" s="483" t="s">
        <v>1115</v>
      </c>
      <c r="D21" s="482" t="s">
        <v>884</v>
      </c>
      <c r="E21" s="473">
        <f>E20*1.05</f>
        <v>1.4175000000000002</v>
      </c>
      <c r="F21" s="462"/>
      <c r="G21" s="463"/>
      <c r="H21" s="455">
        <f t="shared" si="6"/>
        <v>0</v>
      </c>
      <c r="I21" s="464">
        <v>54</v>
      </c>
      <c r="J21" s="464"/>
      <c r="K21" s="102">
        <f t="shared" si="7"/>
        <v>54</v>
      </c>
      <c r="L21" s="50">
        <f t="shared" si="8"/>
        <v>0</v>
      </c>
      <c r="M21" s="102">
        <f t="shared" si="9"/>
        <v>0</v>
      </c>
      <c r="N21" s="102">
        <f t="shared" si="10"/>
        <v>76.55</v>
      </c>
      <c r="O21" s="102">
        <f t="shared" si="11"/>
        <v>0</v>
      </c>
      <c r="P21" s="103">
        <f t="shared" si="12"/>
        <v>76.55</v>
      </c>
    </row>
    <row r="22" spans="1:16" s="56" customFormat="1" ht="15.05">
      <c r="A22" s="481">
        <v>0</v>
      </c>
      <c r="B22" s="482"/>
      <c r="C22" s="483" t="s">
        <v>1116</v>
      </c>
      <c r="D22" s="482" t="s">
        <v>1117</v>
      </c>
      <c r="E22" s="473">
        <f>E20*0.25</f>
        <v>0.33750000000000002</v>
      </c>
      <c r="F22" s="462"/>
      <c r="G22" s="463"/>
      <c r="H22" s="455">
        <f t="shared" si="6"/>
        <v>0</v>
      </c>
      <c r="I22" s="464">
        <v>0</v>
      </c>
      <c r="J22" s="464">
        <v>80</v>
      </c>
      <c r="K22" s="102">
        <f t="shared" si="7"/>
        <v>80</v>
      </c>
      <c r="L22" s="50">
        <f t="shared" si="8"/>
        <v>0</v>
      </c>
      <c r="M22" s="102">
        <f t="shared" si="9"/>
        <v>0</v>
      </c>
      <c r="N22" s="102">
        <f t="shared" si="10"/>
        <v>0</v>
      </c>
      <c r="O22" s="102">
        <f t="shared" si="11"/>
        <v>27</v>
      </c>
      <c r="P22" s="103">
        <f t="shared" si="12"/>
        <v>27</v>
      </c>
    </row>
    <row r="23" spans="1:16" s="56" customFormat="1" ht="30.15">
      <c r="A23" s="481">
        <v>4</v>
      </c>
      <c r="B23" s="482"/>
      <c r="C23" s="483" t="s">
        <v>1118</v>
      </c>
      <c r="D23" s="482" t="s">
        <v>29</v>
      </c>
      <c r="E23" s="473">
        <v>220</v>
      </c>
      <c r="F23" s="462">
        <v>0.65</v>
      </c>
      <c r="G23" s="463">
        <v>9.5</v>
      </c>
      <c r="H23" s="455">
        <f t="shared" si="6"/>
        <v>6.18</v>
      </c>
      <c r="I23" s="464">
        <v>0.68</v>
      </c>
      <c r="J23" s="464">
        <v>8.5</v>
      </c>
      <c r="K23" s="102">
        <f t="shared" si="7"/>
        <v>15.36</v>
      </c>
      <c r="L23" s="50">
        <f t="shared" si="8"/>
        <v>143</v>
      </c>
      <c r="M23" s="102">
        <f t="shared" si="9"/>
        <v>1359.6</v>
      </c>
      <c r="N23" s="102">
        <f t="shared" si="10"/>
        <v>149.6</v>
      </c>
      <c r="O23" s="102">
        <f t="shared" si="11"/>
        <v>1870</v>
      </c>
      <c r="P23" s="103">
        <f t="shared" si="12"/>
        <v>3379.2</v>
      </c>
    </row>
    <row r="24" spans="1:16" s="56" customFormat="1" ht="30.15">
      <c r="A24" s="481">
        <v>5</v>
      </c>
      <c r="B24" s="482"/>
      <c r="C24" s="483" t="s">
        <v>1119</v>
      </c>
      <c r="D24" s="482" t="s">
        <v>1120</v>
      </c>
      <c r="E24" s="473">
        <v>3.6</v>
      </c>
      <c r="F24" s="462">
        <v>28.42</v>
      </c>
      <c r="G24" s="463">
        <v>9.5</v>
      </c>
      <c r="H24" s="455">
        <f t="shared" si="6"/>
        <v>269.99</v>
      </c>
      <c r="I24" s="464">
        <v>0</v>
      </c>
      <c r="J24" s="464">
        <v>40</v>
      </c>
      <c r="K24" s="102">
        <f t="shared" si="7"/>
        <v>309.99</v>
      </c>
      <c r="L24" s="50">
        <f t="shared" si="8"/>
        <v>102.31</v>
      </c>
      <c r="M24" s="102">
        <f t="shared" si="9"/>
        <v>971.96</v>
      </c>
      <c r="N24" s="102">
        <f t="shared" si="10"/>
        <v>0</v>
      </c>
      <c r="O24" s="102">
        <f t="shared" si="11"/>
        <v>144</v>
      </c>
      <c r="P24" s="103">
        <f t="shared" si="12"/>
        <v>1115.96</v>
      </c>
    </row>
    <row r="25" spans="1:16" s="56" customFormat="1" ht="15.05">
      <c r="A25" s="481">
        <v>0</v>
      </c>
      <c r="B25" s="482"/>
      <c r="C25" s="483" t="s">
        <v>1121</v>
      </c>
      <c r="D25" s="482" t="s">
        <v>1120</v>
      </c>
      <c r="E25" s="473">
        <f>E24*1.15</f>
        <v>4.1399999999999997</v>
      </c>
      <c r="F25" s="462"/>
      <c r="G25" s="463"/>
      <c r="H25" s="455">
        <f t="shared" si="6"/>
        <v>0</v>
      </c>
      <c r="I25" s="464">
        <v>640</v>
      </c>
      <c r="J25" s="464"/>
      <c r="K25" s="102">
        <f t="shared" si="7"/>
        <v>640</v>
      </c>
      <c r="L25" s="50">
        <f t="shared" si="8"/>
        <v>0</v>
      </c>
      <c r="M25" s="102">
        <f t="shared" si="9"/>
        <v>0</v>
      </c>
      <c r="N25" s="102">
        <f t="shared" si="10"/>
        <v>2649.6</v>
      </c>
      <c r="O25" s="102">
        <f t="shared" si="11"/>
        <v>0</v>
      </c>
      <c r="P25" s="103">
        <f t="shared" si="12"/>
        <v>2649.6</v>
      </c>
    </row>
    <row r="26" spans="1:16" s="56" customFormat="1" ht="30.15">
      <c r="A26" s="481">
        <v>0</v>
      </c>
      <c r="B26" s="482"/>
      <c r="C26" s="483" t="s">
        <v>1122</v>
      </c>
      <c r="D26" s="482" t="s">
        <v>136</v>
      </c>
      <c r="E26" s="473">
        <v>1</v>
      </c>
      <c r="F26" s="462"/>
      <c r="G26" s="463"/>
      <c r="H26" s="455">
        <f t="shared" si="6"/>
        <v>0</v>
      </c>
      <c r="I26" s="464">
        <f>90*E24</f>
        <v>324</v>
      </c>
      <c r="J26" s="464"/>
      <c r="K26" s="102">
        <f t="shared" si="7"/>
        <v>324</v>
      </c>
      <c r="L26" s="50">
        <f t="shared" si="8"/>
        <v>0</v>
      </c>
      <c r="M26" s="102">
        <f t="shared" si="9"/>
        <v>0</v>
      </c>
      <c r="N26" s="102">
        <f t="shared" si="10"/>
        <v>324</v>
      </c>
      <c r="O26" s="102">
        <f t="shared" si="11"/>
        <v>0</v>
      </c>
      <c r="P26" s="103">
        <f t="shared" si="12"/>
        <v>324</v>
      </c>
    </row>
    <row r="27" spans="1:16" s="56" customFormat="1" ht="15.05">
      <c r="A27" s="481">
        <v>6</v>
      </c>
      <c r="B27" s="482"/>
      <c r="C27" s="483" t="s">
        <v>1123</v>
      </c>
      <c r="D27" s="482" t="s">
        <v>1110</v>
      </c>
      <c r="E27" s="473">
        <v>36</v>
      </c>
      <c r="F27" s="462">
        <v>0.57999999999999996</v>
      </c>
      <c r="G27" s="463">
        <v>9.5</v>
      </c>
      <c r="H27" s="455">
        <f t="shared" si="6"/>
        <v>5.51</v>
      </c>
      <c r="I27" s="464">
        <v>16</v>
      </c>
      <c r="J27" s="464">
        <v>1</v>
      </c>
      <c r="K27" s="102">
        <f t="shared" si="7"/>
        <v>22.509999999999998</v>
      </c>
      <c r="L27" s="50">
        <f t="shared" si="8"/>
        <v>20.88</v>
      </c>
      <c r="M27" s="102">
        <f t="shared" si="9"/>
        <v>198.36</v>
      </c>
      <c r="N27" s="102">
        <f t="shared" si="10"/>
        <v>576</v>
      </c>
      <c r="O27" s="102">
        <f t="shared" si="11"/>
        <v>36</v>
      </c>
      <c r="P27" s="103">
        <f t="shared" si="12"/>
        <v>810.36</v>
      </c>
    </row>
    <row r="28" spans="1:16" s="56" customFormat="1" ht="15.05">
      <c r="A28" s="481">
        <v>7</v>
      </c>
      <c r="B28" s="482"/>
      <c r="C28" s="483" t="s">
        <v>1124</v>
      </c>
      <c r="D28" s="482" t="s">
        <v>884</v>
      </c>
      <c r="E28" s="473">
        <v>29.25</v>
      </c>
      <c r="F28" s="462">
        <v>3.98</v>
      </c>
      <c r="G28" s="463">
        <v>9.5</v>
      </c>
      <c r="H28" s="455">
        <f t="shared" si="6"/>
        <v>37.81</v>
      </c>
      <c r="I28" s="464">
        <v>0</v>
      </c>
      <c r="J28" s="464">
        <v>2.8</v>
      </c>
      <c r="K28" s="102">
        <f t="shared" si="7"/>
        <v>40.61</v>
      </c>
      <c r="L28" s="50">
        <f t="shared" si="8"/>
        <v>116.42</v>
      </c>
      <c r="M28" s="102">
        <f t="shared" si="9"/>
        <v>1105.94</v>
      </c>
      <c r="N28" s="102">
        <f t="shared" si="10"/>
        <v>0</v>
      </c>
      <c r="O28" s="102">
        <f t="shared" si="11"/>
        <v>81.900000000000006</v>
      </c>
      <c r="P28" s="103">
        <f t="shared" si="12"/>
        <v>1187.8400000000001</v>
      </c>
    </row>
    <row r="29" spans="1:16" s="56" customFormat="1" ht="15.05">
      <c r="A29" s="481">
        <v>0</v>
      </c>
      <c r="B29" s="482"/>
      <c r="C29" s="483" t="s">
        <v>1125</v>
      </c>
      <c r="D29" s="482" t="s">
        <v>884</v>
      </c>
      <c r="E29" s="473">
        <f>E28*1.05</f>
        <v>30.712500000000002</v>
      </c>
      <c r="F29" s="462"/>
      <c r="G29" s="463"/>
      <c r="H29" s="455">
        <f t="shared" si="6"/>
        <v>0</v>
      </c>
      <c r="I29" s="464">
        <v>73</v>
      </c>
      <c r="J29" s="464"/>
      <c r="K29" s="102">
        <f t="shared" si="7"/>
        <v>73</v>
      </c>
      <c r="L29" s="50">
        <f t="shared" si="8"/>
        <v>0</v>
      </c>
      <c r="M29" s="102">
        <f t="shared" si="9"/>
        <v>0</v>
      </c>
      <c r="N29" s="102">
        <f t="shared" si="10"/>
        <v>2242.0100000000002</v>
      </c>
      <c r="O29" s="102">
        <f t="shared" si="11"/>
        <v>0</v>
      </c>
      <c r="P29" s="103">
        <f t="shared" si="12"/>
        <v>2242.0100000000002</v>
      </c>
    </row>
    <row r="30" spans="1:16" s="56" customFormat="1" ht="15.05">
      <c r="A30" s="481">
        <v>0</v>
      </c>
      <c r="B30" s="482"/>
      <c r="C30" s="483" t="s">
        <v>1116</v>
      </c>
      <c r="D30" s="482" t="s">
        <v>1117</v>
      </c>
      <c r="E30" s="473">
        <f>E28*0.25</f>
        <v>7.3125</v>
      </c>
      <c r="F30" s="462"/>
      <c r="G30" s="463"/>
      <c r="H30" s="455">
        <f t="shared" si="6"/>
        <v>0</v>
      </c>
      <c r="I30" s="464">
        <v>0</v>
      </c>
      <c r="J30" s="464">
        <v>80</v>
      </c>
      <c r="K30" s="102">
        <f t="shared" si="7"/>
        <v>80</v>
      </c>
      <c r="L30" s="50">
        <f t="shared" si="8"/>
        <v>0</v>
      </c>
      <c r="M30" s="102">
        <f t="shared" si="9"/>
        <v>0</v>
      </c>
      <c r="N30" s="102">
        <f t="shared" si="10"/>
        <v>0</v>
      </c>
      <c r="O30" s="102">
        <f t="shared" si="11"/>
        <v>585</v>
      </c>
      <c r="P30" s="103">
        <f t="shared" si="12"/>
        <v>585</v>
      </c>
    </row>
    <row r="31" spans="1:16" s="56" customFormat="1" ht="15.05">
      <c r="A31" s="481">
        <v>8</v>
      </c>
      <c r="B31" s="482"/>
      <c r="C31" s="483" t="s">
        <v>1126</v>
      </c>
      <c r="D31" s="482" t="s">
        <v>29</v>
      </c>
      <c r="E31" s="473">
        <v>1.8</v>
      </c>
      <c r="F31" s="462">
        <v>0.26</v>
      </c>
      <c r="G31" s="463">
        <v>9.5</v>
      </c>
      <c r="H31" s="455">
        <f t="shared" si="6"/>
        <v>2.4700000000000002</v>
      </c>
      <c r="I31" s="464">
        <v>2.4</v>
      </c>
      <c r="J31" s="464">
        <v>0.1</v>
      </c>
      <c r="K31" s="102">
        <f t="shared" si="7"/>
        <v>4.97</v>
      </c>
      <c r="L31" s="50">
        <f t="shared" si="8"/>
        <v>0.47</v>
      </c>
      <c r="M31" s="102">
        <f t="shared" si="9"/>
        <v>4.45</v>
      </c>
      <c r="N31" s="102">
        <f t="shared" si="10"/>
        <v>4.32</v>
      </c>
      <c r="O31" s="102">
        <f t="shared" si="11"/>
        <v>0.18</v>
      </c>
      <c r="P31" s="103">
        <f t="shared" si="12"/>
        <v>8.9499999999999993</v>
      </c>
    </row>
    <row r="32" spans="1:16" s="56" customFormat="1" ht="15.05">
      <c r="A32" s="470">
        <v>0</v>
      </c>
      <c r="B32" s="471"/>
      <c r="C32" s="479"/>
      <c r="D32" s="471"/>
      <c r="E32" s="473"/>
      <c r="F32" s="462"/>
      <c r="G32" s="463"/>
      <c r="H32" s="455">
        <f t="shared" si="6"/>
        <v>0</v>
      </c>
      <c r="I32" s="464"/>
      <c r="J32" s="464"/>
      <c r="K32" s="102">
        <f t="shared" si="7"/>
        <v>0</v>
      </c>
      <c r="L32" s="50">
        <f t="shared" si="8"/>
        <v>0</v>
      </c>
      <c r="M32" s="102">
        <f t="shared" si="9"/>
        <v>0</v>
      </c>
      <c r="N32" s="102">
        <f t="shared" si="10"/>
        <v>0</v>
      </c>
      <c r="O32" s="102">
        <f t="shared" si="11"/>
        <v>0</v>
      </c>
      <c r="P32" s="103">
        <f t="shared" si="12"/>
        <v>0</v>
      </c>
    </row>
    <row r="33" spans="1:16" s="56" customFormat="1" ht="15.05">
      <c r="A33" s="470">
        <v>0</v>
      </c>
      <c r="B33" s="471"/>
      <c r="C33" s="480" t="s">
        <v>1127</v>
      </c>
      <c r="D33" s="471"/>
      <c r="E33" s="473"/>
      <c r="F33" s="462"/>
      <c r="G33" s="463"/>
      <c r="H33" s="455">
        <f t="shared" si="6"/>
        <v>0</v>
      </c>
      <c r="I33" s="464"/>
      <c r="J33" s="464"/>
      <c r="K33" s="102">
        <f t="shared" si="7"/>
        <v>0</v>
      </c>
      <c r="L33" s="50">
        <f t="shared" si="8"/>
        <v>0</v>
      </c>
      <c r="M33" s="102">
        <f t="shared" si="9"/>
        <v>0</v>
      </c>
      <c r="N33" s="102">
        <f t="shared" si="10"/>
        <v>0</v>
      </c>
      <c r="O33" s="102">
        <f t="shared" si="11"/>
        <v>0</v>
      </c>
      <c r="P33" s="103">
        <f t="shared" si="12"/>
        <v>0</v>
      </c>
    </row>
    <row r="34" spans="1:16" s="56" customFormat="1" ht="15.05">
      <c r="A34" s="481">
        <v>9</v>
      </c>
      <c r="B34" s="482"/>
      <c r="C34" s="483" t="s">
        <v>1113</v>
      </c>
      <c r="D34" s="482" t="s">
        <v>884</v>
      </c>
      <c r="E34" s="473">
        <v>1.2</v>
      </c>
      <c r="F34" s="462">
        <v>1</v>
      </c>
      <c r="G34" s="463">
        <v>9.5</v>
      </c>
      <c r="H34" s="455">
        <f t="shared" si="6"/>
        <v>9.5</v>
      </c>
      <c r="I34" s="464">
        <v>22.8</v>
      </c>
      <c r="J34" s="464">
        <v>1.5</v>
      </c>
      <c r="K34" s="102">
        <f t="shared" si="7"/>
        <v>33.799999999999997</v>
      </c>
      <c r="L34" s="50">
        <f t="shared" si="8"/>
        <v>1.2</v>
      </c>
      <c r="M34" s="102">
        <f t="shared" si="9"/>
        <v>11.4</v>
      </c>
      <c r="N34" s="102">
        <f t="shared" si="10"/>
        <v>27.36</v>
      </c>
      <c r="O34" s="102">
        <f t="shared" si="11"/>
        <v>1.8</v>
      </c>
      <c r="P34" s="103">
        <f t="shared" si="12"/>
        <v>40.559999999999995</v>
      </c>
    </row>
    <row r="35" spans="1:16" s="56" customFormat="1" ht="15.05">
      <c r="A35" s="481">
        <v>10</v>
      </c>
      <c r="B35" s="482"/>
      <c r="C35" s="483" t="s">
        <v>1114</v>
      </c>
      <c r="D35" s="482" t="s">
        <v>884</v>
      </c>
      <c r="E35" s="473">
        <v>0.3</v>
      </c>
      <c r="F35" s="462">
        <v>3.32</v>
      </c>
      <c r="G35" s="463">
        <v>9.5</v>
      </c>
      <c r="H35" s="455">
        <f t="shared" si="6"/>
        <v>31.54</v>
      </c>
      <c r="I35" s="464"/>
      <c r="J35" s="464">
        <v>14</v>
      </c>
      <c r="K35" s="102">
        <f t="shared" si="7"/>
        <v>45.54</v>
      </c>
      <c r="L35" s="50">
        <f t="shared" si="8"/>
        <v>1</v>
      </c>
      <c r="M35" s="102">
        <f t="shared" si="9"/>
        <v>9.4600000000000009</v>
      </c>
      <c r="N35" s="102">
        <f t="shared" si="10"/>
        <v>0</v>
      </c>
      <c r="O35" s="102">
        <f t="shared" si="11"/>
        <v>4.2</v>
      </c>
      <c r="P35" s="103">
        <f t="shared" si="12"/>
        <v>13.66</v>
      </c>
    </row>
    <row r="36" spans="1:16" s="56" customFormat="1" ht="15.05">
      <c r="A36" s="481">
        <v>0</v>
      </c>
      <c r="B36" s="482"/>
      <c r="C36" s="483" t="s">
        <v>1115</v>
      </c>
      <c r="D36" s="482" t="s">
        <v>884</v>
      </c>
      <c r="E36" s="473">
        <f>E35*1.05</f>
        <v>0.315</v>
      </c>
      <c r="F36" s="462"/>
      <c r="G36" s="463"/>
      <c r="H36" s="455">
        <f t="shared" si="6"/>
        <v>0</v>
      </c>
      <c r="I36" s="464">
        <v>54</v>
      </c>
      <c r="J36" s="464"/>
      <c r="K36" s="102">
        <f t="shared" si="7"/>
        <v>54</v>
      </c>
      <c r="L36" s="50">
        <f t="shared" si="8"/>
        <v>0</v>
      </c>
      <c r="M36" s="102">
        <f t="shared" si="9"/>
        <v>0</v>
      </c>
      <c r="N36" s="102">
        <f t="shared" si="10"/>
        <v>17.010000000000002</v>
      </c>
      <c r="O36" s="102">
        <f t="shared" si="11"/>
        <v>0</v>
      </c>
      <c r="P36" s="103">
        <f t="shared" si="12"/>
        <v>17.010000000000002</v>
      </c>
    </row>
    <row r="37" spans="1:16" s="56" customFormat="1" ht="15.05">
      <c r="A37" s="481">
        <v>0</v>
      </c>
      <c r="B37" s="482"/>
      <c r="C37" s="483" t="s">
        <v>1116</v>
      </c>
      <c r="D37" s="482" t="s">
        <v>1117</v>
      </c>
      <c r="E37" s="473">
        <f>E35*0.25</f>
        <v>7.4999999999999997E-2</v>
      </c>
      <c r="F37" s="462"/>
      <c r="G37" s="463"/>
      <c r="H37" s="455">
        <f t="shared" si="6"/>
        <v>0</v>
      </c>
      <c r="I37" s="464">
        <v>0</v>
      </c>
      <c r="J37" s="464">
        <v>80</v>
      </c>
      <c r="K37" s="102">
        <f t="shared" si="7"/>
        <v>80</v>
      </c>
      <c r="L37" s="50">
        <f t="shared" si="8"/>
        <v>0</v>
      </c>
      <c r="M37" s="102">
        <f t="shared" si="9"/>
        <v>0</v>
      </c>
      <c r="N37" s="102">
        <f t="shared" si="10"/>
        <v>0</v>
      </c>
      <c r="O37" s="102">
        <f t="shared" si="11"/>
        <v>6</v>
      </c>
      <c r="P37" s="103">
        <f t="shared" si="12"/>
        <v>6</v>
      </c>
    </row>
    <row r="38" spans="1:16" s="56" customFormat="1" ht="30.15">
      <c r="A38" s="481">
        <v>11</v>
      </c>
      <c r="B38" s="482"/>
      <c r="C38" s="483" t="s">
        <v>1118</v>
      </c>
      <c r="D38" s="482" t="s">
        <v>29</v>
      </c>
      <c r="E38" s="473">
        <v>28</v>
      </c>
      <c r="F38" s="462">
        <v>0.65</v>
      </c>
      <c r="G38" s="463">
        <v>9.5</v>
      </c>
      <c r="H38" s="455">
        <f t="shared" si="6"/>
        <v>6.18</v>
      </c>
      <c r="I38" s="464">
        <v>0.68</v>
      </c>
      <c r="J38" s="464">
        <v>8.5</v>
      </c>
      <c r="K38" s="102">
        <f t="shared" si="7"/>
        <v>15.36</v>
      </c>
      <c r="L38" s="50">
        <f t="shared" si="8"/>
        <v>18.2</v>
      </c>
      <c r="M38" s="102">
        <f t="shared" si="9"/>
        <v>173.04</v>
      </c>
      <c r="N38" s="102">
        <f t="shared" si="10"/>
        <v>19.04</v>
      </c>
      <c r="O38" s="102">
        <f t="shared" si="11"/>
        <v>238</v>
      </c>
      <c r="P38" s="103">
        <f t="shared" si="12"/>
        <v>430.08</v>
      </c>
    </row>
    <row r="39" spans="1:16" s="56" customFormat="1" ht="30.15">
      <c r="A39" s="481">
        <v>12</v>
      </c>
      <c r="B39" s="482"/>
      <c r="C39" s="483" t="s">
        <v>1119</v>
      </c>
      <c r="D39" s="482" t="s">
        <v>1120</v>
      </c>
      <c r="E39" s="473">
        <v>0.91</v>
      </c>
      <c r="F39" s="462">
        <v>28.42</v>
      </c>
      <c r="G39" s="463">
        <v>9.5</v>
      </c>
      <c r="H39" s="455">
        <f t="shared" si="6"/>
        <v>269.99</v>
      </c>
      <c r="I39" s="464">
        <v>0</v>
      </c>
      <c r="J39" s="464">
        <v>40</v>
      </c>
      <c r="K39" s="102">
        <f t="shared" si="7"/>
        <v>309.99</v>
      </c>
      <c r="L39" s="50">
        <f t="shared" si="8"/>
        <v>25.86</v>
      </c>
      <c r="M39" s="102">
        <f t="shared" si="9"/>
        <v>245.69</v>
      </c>
      <c r="N39" s="102">
        <f t="shared" si="10"/>
        <v>0</v>
      </c>
      <c r="O39" s="102">
        <f t="shared" si="11"/>
        <v>36.4</v>
      </c>
      <c r="P39" s="103">
        <f t="shared" si="12"/>
        <v>282.08999999999997</v>
      </c>
    </row>
    <row r="40" spans="1:16" s="56" customFormat="1" ht="15.05">
      <c r="A40" s="481">
        <v>0</v>
      </c>
      <c r="B40" s="482"/>
      <c r="C40" s="483" t="s">
        <v>1121</v>
      </c>
      <c r="D40" s="482" t="s">
        <v>1120</v>
      </c>
      <c r="E40" s="473">
        <f>E39*1.15</f>
        <v>1.0465</v>
      </c>
      <c r="F40" s="462"/>
      <c r="G40" s="463"/>
      <c r="H40" s="455">
        <f t="shared" si="6"/>
        <v>0</v>
      </c>
      <c r="I40" s="464">
        <v>640</v>
      </c>
      <c r="J40" s="464"/>
      <c r="K40" s="102">
        <f t="shared" si="7"/>
        <v>640</v>
      </c>
      <c r="L40" s="50">
        <f t="shared" si="8"/>
        <v>0</v>
      </c>
      <c r="M40" s="102">
        <f t="shared" si="9"/>
        <v>0</v>
      </c>
      <c r="N40" s="102">
        <f t="shared" si="10"/>
        <v>669.76</v>
      </c>
      <c r="O40" s="102">
        <f t="shared" si="11"/>
        <v>0</v>
      </c>
      <c r="P40" s="103">
        <f t="shared" si="12"/>
        <v>669.76</v>
      </c>
    </row>
    <row r="41" spans="1:16" s="56" customFormat="1" ht="30.15">
      <c r="A41" s="481">
        <v>0</v>
      </c>
      <c r="B41" s="482"/>
      <c r="C41" s="483" t="s">
        <v>1122</v>
      </c>
      <c r="D41" s="482" t="s">
        <v>136</v>
      </c>
      <c r="E41" s="473">
        <v>1</v>
      </c>
      <c r="F41" s="462"/>
      <c r="G41" s="463"/>
      <c r="H41" s="455">
        <f t="shared" si="6"/>
        <v>0</v>
      </c>
      <c r="I41" s="464">
        <f>90*E39</f>
        <v>81.900000000000006</v>
      </c>
      <c r="J41" s="464"/>
      <c r="K41" s="102">
        <f t="shared" si="7"/>
        <v>81.900000000000006</v>
      </c>
      <c r="L41" s="50">
        <f t="shared" si="8"/>
        <v>0</v>
      </c>
      <c r="M41" s="102">
        <f t="shared" si="9"/>
        <v>0</v>
      </c>
      <c r="N41" s="102">
        <f t="shared" si="10"/>
        <v>81.900000000000006</v>
      </c>
      <c r="O41" s="102">
        <f t="shared" si="11"/>
        <v>0</v>
      </c>
      <c r="P41" s="103">
        <f t="shared" si="12"/>
        <v>81.900000000000006</v>
      </c>
    </row>
    <row r="42" spans="1:16" s="56" customFormat="1" ht="15.05">
      <c r="A42" s="481">
        <v>13</v>
      </c>
      <c r="B42" s="482"/>
      <c r="C42" s="483" t="s">
        <v>1128</v>
      </c>
      <c r="D42" s="482" t="s">
        <v>1110</v>
      </c>
      <c r="E42" s="473">
        <v>8</v>
      </c>
      <c r="F42" s="462">
        <v>0.57999999999999996</v>
      </c>
      <c r="G42" s="463">
        <v>9.5</v>
      </c>
      <c r="H42" s="455">
        <f t="shared" si="6"/>
        <v>5.51</v>
      </c>
      <c r="I42" s="464">
        <v>22</v>
      </c>
      <c r="J42" s="464">
        <v>1</v>
      </c>
      <c r="K42" s="102">
        <f t="shared" si="7"/>
        <v>28.509999999999998</v>
      </c>
      <c r="L42" s="50">
        <f t="shared" si="8"/>
        <v>4.6399999999999997</v>
      </c>
      <c r="M42" s="102">
        <f t="shared" si="9"/>
        <v>44.08</v>
      </c>
      <c r="N42" s="102">
        <f t="shared" si="10"/>
        <v>176</v>
      </c>
      <c r="O42" s="102">
        <f t="shared" si="11"/>
        <v>8</v>
      </c>
      <c r="P42" s="103">
        <f t="shared" si="12"/>
        <v>228.07999999999998</v>
      </c>
    </row>
    <row r="43" spans="1:16" s="56" customFormat="1" ht="15.05">
      <c r="A43" s="481">
        <v>14</v>
      </c>
      <c r="B43" s="482"/>
      <c r="C43" s="483" t="s">
        <v>1124</v>
      </c>
      <c r="D43" s="482" t="s">
        <v>884</v>
      </c>
      <c r="E43" s="473">
        <v>6.8</v>
      </c>
      <c r="F43" s="462">
        <v>3.98</v>
      </c>
      <c r="G43" s="463">
        <v>9.5</v>
      </c>
      <c r="H43" s="455">
        <f t="shared" si="6"/>
        <v>37.81</v>
      </c>
      <c r="I43" s="464">
        <v>0</v>
      </c>
      <c r="J43" s="464">
        <v>2.8</v>
      </c>
      <c r="K43" s="102">
        <f t="shared" si="7"/>
        <v>40.61</v>
      </c>
      <c r="L43" s="50">
        <f t="shared" si="8"/>
        <v>27.06</v>
      </c>
      <c r="M43" s="102">
        <f t="shared" si="9"/>
        <v>257.11</v>
      </c>
      <c r="N43" s="102">
        <f t="shared" si="10"/>
        <v>0</v>
      </c>
      <c r="O43" s="102">
        <f t="shared" si="11"/>
        <v>19.04</v>
      </c>
      <c r="P43" s="103">
        <f t="shared" si="12"/>
        <v>276.15000000000003</v>
      </c>
    </row>
    <row r="44" spans="1:16" s="56" customFormat="1" ht="15.05">
      <c r="A44" s="481">
        <v>0</v>
      </c>
      <c r="B44" s="482"/>
      <c r="C44" s="483" t="s">
        <v>1125</v>
      </c>
      <c r="D44" s="482" t="s">
        <v>884</v>
      </c>
      <c r="E44" s="473">
        <f>E43*1.05</f>
        <v>7.14</v>
      </c>
      <c r="F44" s="462"/>
      <c r="G44" s="463"/>
      <c r="H44" s="455">
        <f t="shared" si="6"/>
        <v>0</v>
      </c>
      <c r="I44" s="464">
        <v>73</v>
      </c>
      <c r="J44" s="464"/>
      <c r="K44" s="102">
        <f t="shared" si="7"/>
        <v>73</v>
      </c>
      <c r="L44" s="50">
        <f t="shared" si="8"/>
        <v>0</v>
      </c>
      <c r="M44" s="102">
        <f t="shared" si="9"/>
        <v>0</v>
      </c>
      <c r="N44" s="102">
        <f t="shared" si="10"/>
        <v>521.22</v>
      </c>
      <c r="O44" s="102">
        <f t="shared" si="11"/>
        <v>0</v>
      </c>
      <c r="P44" s="103">
        <f t="shared" si="12"/>
        <v>521.22</v>
      </c>
    </row>
    <row r="45" spans="1:16" s="56" customFormat="1" ht="15.05">
      <c r="A45" s="481">
        <v>0</v>
      </c>
      <c r="B45" s="482"/>
      <c r="C45" s="483" t="s">
        <v>1116</v>
      </c>
      <c r="D45" s="482" t="s">
        <v>1117</v>
      </c>
      <c r="E45" s="473">
        <f>E43*0.25</f>
        <v>1.7</v>
      </c>
      <c r="F45" s="462"/>
      <c r="G45" s="463"/>
      <c r="H45" s="455">
        <f t="shared" si="6"/>
        <v>0</v>
      </c>
      <c r="I45" s="464">
        <v>0</v>
      </c>
      <c r="J45" s="464">
        <v>80</v>
      </c>
      <c r="K45" s="102">
        <f t="shared" si="7"/>
        <v>80</v>
      </c>
      <c r="L45" s="50">
        <f t="shared" si="8"/>
        <v>0</v>
      </c>
      <c r="M45" s="102">
        <f t="shared" si="9"/>
        <v>0</v>
      </c>
      <c r="N45" s="102">
        <f t="shared" si="10"/>
        <v>0</v>
      </c>
      <c r="O45" s="102">
        <f t="shared" si="11"/>
        <v>136</v>
      </c>
      <c r="P45" s="103">
        <f t="shared" si="12"/>
        <v>136</v>
      </c>
    </row>
    <row r="46" spans="1:16" s="56" customFormat="1" ht="15.05">
      <c r="A46" s="481">
        <v>15</v>
      </c>
      <c r="B46" s="482"/>
      <c r="C46" s="483" t="s">
        <v>1126</v>
      </c>
      <c r="D46" s="482" t="s">
        <v>29</v>
      </c>
      <c r="E46" s="473">
        <v>0.42</v>
      </c>
      <c r="F46" s="462">
        <v>0.26</v>
      </c>
      <c r="G46" s="463">
        <v>9.5</v>
      </c>
      <c r="H46" s="455">
        <f t="shared" si="6"/>
        <v>2.4700000000000002</v>
      </c>
      <c r="I46" s="464">
        <v>2.4</v>
      </c>
      <c r="J46" s="464">
        <v>0.1</v>
      </c>
      <c r="K46" s="102">
        <f t="shared" si="7"/>
        <v>4.97</v>
      </c>
      <c r="L46" s="50">
        <f t="shared" si="8"/>
        <v>0.11</v>
      </c>
      <c r="M46" s="102">
        <f t="shared" si="9"/>
        <v>1.04</v>
      </c>
      <c r="N46" s="102">
        <f t="shared" si="10"/>
        <v>1.01</v>
      </c>
      <c r="O46" s="102">
        <f t="shared" si="11"/>
        <v>0.04</v>
      </c>
      <c r="P46" s="103">
        <f t="shared" si="12"/>
        <v>2.09</v>
      </c>
    </row>
    <row r="47" spans="1:16" s="56" customFormat="1" ht="15.05">
      <c r="A47" s="470">
        <v>0</v>
      </c>
      <c r="B47" s="471"/>
      <c r="C47" s="479"/>
      <c r="D47" s="471"/>
      <c r="E47" s="473"/>
      <c r="F47" s="462"/>
      <c r="G47" s="463"/>
      <c r="H47" s="455">
        <f t="shared" ref="H47:H78" si="13">ROUND(F47*G47,2)</f>
        <v>0</v>
      </c>
      <c r="I47" s="464"/>
      <c r="J47" s="464"/>
      <c r="K47" s="102">
        <f t="shared" si="7"/>
        <v>0</v>
      </c>
      <c r="L47" s="50">
        <f t="shared" si="8"/>
        <v>0</v>
      </c>
      <c r="M47" s="102">
        <f t="shared" si="9"/>
        <v>0</v>
      </c>
      <c r="N47" s="102">
        <f t="shared" si="10"/>
        <v>0</v>
      </c>
      <c r="O47" s="102">
        <f t="shared" si="11"/>
        <v>0</v>
      </c>
      <c r="P47" s="103">
        <f t="shared" si="12"/>
        <v>0</v>
      </c>
    </row>
    <row r="48" spans="1:16" s="56" customFormat="1" ht="15.05">
      <c r="A48" s="470">
        <v>0</v>
      </c>
      <c r="B48" s="471"/>
      <c r="C48" s="480" t="s">
        <v>1129</v>
      </c>
      <c r="D48" s="471"/>
      <c r="E48" s="473"/>
      <c r="F48" s="462"/>
      <c r="G48" s="463"/>
      <c r="H48" s="455">
        <f t="shared" si="13"/>
        <v>0</v>
      </c>
      <c r="I48" s="464"/>
      <c r="J48" s="464"/>
      <c r="K48" s="102">
        <f t="shared" si="7"/>
        <v>0</v>
      </c>
      <c r="L48" s="50">
        <f t="shared" si="8"/>
        <v>0</v>
      </c>
      <c r="M48" s="102">
        <f t="shared" si="9"/>
        <v>0</v>
      </c>
      <c r="N48" s="102">
        <f t="shared" si="10"/>
        <v>0</v>
      </c>
      <c r="O48" s="102">
        <f t="shared" si="11"/>
        <v>0</v>
      </c>
      <c r="P48" s="103">
        <f t="shared" si="12"/>
        <v>0</v>
      </c>
    </row>
    <row r="49" spans="1:16" s="56" customFormat="1" ht="15.05">
      <c r="A49" s="481">
        <v>16</v>
      </c>
      <c r="B49" s="482"/>
      <c r="C49" s="483" t="s">
        <v>1113</v>
      </c>
      <c r="D49" s="482" t="s">
        <v>884</v>
      </c>
      <c r="E49" s="473">
        <v>0.8</v>
      </c>
      <c r="F49" s="462">
        <v>1</v>
      </c>
      <c r="G49" s="463">
        <v>9.5</v>
      </c>
      <c r="H49" s="455">
        <f t="shared" si="13"/>
        <v>9.5</v>
      </c>
      <c r="I49" s="464">
        <v>22.8</v>
      </c>
      <c r="J49" s="464">
        <v>1.5</v>
      </c>
      <c r="K49" s="102">
        <f t="shared" si="7"/>
        <v>33.799999999999997</v>
      </c>
      <c r="L49" s="50">
        <f t="shared" si="8"/>
        <v>0.8</v>
      </c>
      <c r="M49" s="102">
        <f t="shared" si="9"/>
        <v>7.6</v>
      </c>
      <c r="N49" s="102">
        <f t="shared" si="10"/>
        <v>18.239999999999998</v>
      </c>
      <c r="O49" s="102">
        <f t="shared" si="11"/>
        <v>1.2</v>
      </c>
      <c r="P49" s="103">
        <f t="shared" si="12"/>
        <v>27.039999999999996</v>
      </c>
    </row>
    <row r="50" spans="1:16" s="56" customFormat="1" ht="15.05">
      <c r="A50" s="481">
        <v>17</v>
      </c>
      <c r="B50" s="482"/>
      <c r="C50" s="483" t="s">
        <v>1114</v>
      </c>
      <c r="D50" s="482" t="s">
        <v>884</v>
      </c>
      <c r="E50" s="473">
        <v>0.2</v>
      </c>
      <c r="F50" s="462">
        <v>3.32</v>
      </c>
      <c r="G50" s="463">
        <v>9.5</v>
      </c>
      <c r="H50" s="455">
        <f t="shared" si="13"/>
        <v>31.54</v>
      </c>
      <c r="I50" s="464"/>
      <c r="J50" s="464">
        <v>14</v>
      </c>
      <c r="K50" s="102">
        <f t="shared" si="7"/>
        <v>45.54</v>
      </c>
      <c r="L50" s="50">
        <f t="shared" si="8"/>
        <v>0.66</v>
      </c>
      <c r="M50" s="102">
        <f t="shared" si="9"/>
        <v>6.31</v>
      </c>
      <c r="N50" s="102">
        <f t="shared" si="10"/>
        <v>0</v>
      </c>
      <c r="O50" s="102">
        <f t="shared" si="11"/>
        <v>2.8</v>
      </c>
      <c r="P50" s="103">
        <f t="shared" si="12"/>
        <v>9.11</v>
      </c>
    </row>
    <row r="51" spans="1:16" s="56" customFormat="1" ht="15.05">
      <c r="A51" s="481">
        <v>0</v>
      </c>
      <c r="B51" s="482"/>
      <c r="C51" s="483" t="s">
        <v>1115</v>
      </c>
      <c r="D51" s="482" t="s">
        <v>884</v>
      </c>
      <c r="E51" s="473">
        <f>E50*1.05</f>
        <v>0.21000000000000002</v>
      </c>
      <c r="F51" s="462"/>
      <c r="G51" s="463"/>
      <c r="H51" s="455">
        <f t="shared" si="13"/>
        <v>0</v>
      </c>
      <c r="I51" s="464">
        <v>54</v>
      </c>
      <c r="J51" s="464"/>
      <c r="K51" s="102">
        <f t="shared" si="7"/>
        <v>54</v>
      </c>
      <c r="L51" s="50">
        <f t="shared" si="8"/>
        <v>0</v>
      </c>
      <c r="M51" s="102">
        <f t="shared" si="9"/>
        <v>0</v>
      </c>
      <c r="N51" s="102">
        <f t="shared" si="10"/>
        <v>11.34</v>
      </c>
      <c r="O51" s="102">
        <f t="shared" si="11"/>
        <v>0</v>
      </c>
      <c r="P51" s="103">
        <f t="shared" si="12"/>
        <v>11.34</v>
      </c>
    </row>
    <row r="52" spans="1:16" s="56" customFormat="1" ht="15.05">
      <c r="A52" s="481">
        <v>0</v>
      </c>
      <c r="B52" s="482"/>
      <c r="C52" s="483" t="s">
        <v>1116</v>
      </c>
      <c r="D52" s="482" t="s">
        <v>1117</v>
      </c>
      <c r="E52" s="473">
        <f>E50*0.25</f>
        <v>0.05</v>
      </c>
      <c r="F52" s="462"/>
      <c r="G52" s="463"/>
      <c r="H52" s="455">
        <f t="shared" si="13"/>
        <v>0</v>
      </c>
      <c r="I52" s="464">
        <v>0</v>
      </c>
      <c r="J52" s="464">
        <v>80</v>
      </c>
      <c r="K52" s="102">
        <f t="shared" si="7"/>
        <v>80</v>
      </c>
      <c r="L52" s="50">
        <f t="shared" si="8"/>
        <v>0</v>
      </c>
      <c r="M52" s="102">
        <f t="shared" si="9"/>
        <v>0</v>
      </c>
      <c r="N52" s="102">
        <f t="shared" si="10"/>
        <v>0</v>
      </c>
      <c r="O52" s="102">
        <f t="shared" si="11"/>
        <v>4</v>
      </c>
      <c r="P52" s="103">
        <f t="shared" si="12"/>
        <v>4</v>
      </c>
    </row>
    <row r="53" spans="1:16" s="56" customFormat="1" ht="30.15">
      <c r="A53" s="481">
        <v>18</v>
      </c>
      <c r="B53" s="482"/>
      <c r="C53" s="483" t="s">
        <v>1118</v>
      </c>
      <c r="D53" s="482" t="s">
        <v>29</v>
      </c>
      <c r="E53" s="473">
        <v>42</v>
      </c>
      <c r="F53" s="462">
        <v>0.65</v>
      </c>
      <c r="G53" s="463">
        <v>9.5</v>
      </c>
      <c r="H53" s="455">
        <f t="shared" si="13"/>
        <v>6.18</v>
      </c>
      <c r="I53" s="464">
        <v>0.68</v>
      </c>
      <c r="J53" s="464">
        <v>8.5</v>
      </c>
      <c r="K53" s="102">
        <f t="shared" si="7"/>
        <v>15.36</v>
      </c>
      <c r="L53" s="50">
        <f t="shared" si="8"/>
        <v>27.3</v>
      </c>
      <c r="M53" s="102">
        <f t="shared" si="9"/>
        <v>259.56</v>
      </c>
      <c r="N53" s="102">
        <f t="shared" si="10"/>
        <v>28.56</v>
      </c>
      <c r="O53" s="102">
        <f t="shared" si="11"/>
        <v>357</v>
      </c>
      <c r="P53" s="103">
        <f t="shared" si="12"/>
        <v>645.12</v>
      </c>
    </row>
    <row r="54" spans="1:16" s="56" customFormat="1" ht="30.15">
      <c r="A54" s="481">
        <v>19</v>
      </c>
      <c r="B54" s="482"/>
      <c r="C54" s="483" t="s">
        <v>1119</v>
      </c>
      <c r="D54" s="482" t="s">
        <v>1120</v>
      </c>
      <c r="E54" s="473">
        <v>0.83</v>
      </c>
      <c r="F54" s="462">
        <v>28.42</v>
      </c>
      <c r="G54" s="463">
        <v>9.5</v>
      </c>
      <c r="H54" s="455">
        <f t="shared" si="13"/>
        <v>269.99</v>
      </c>
      <c r="I54" s="464">
        <v>0</v>
      </c>
      <c r="J54" s="464">
        <v>40</v>
      </c>
      <c r="K54" s="102">
        <f t="shared" si="7"/>
        <v>309.99</v>
      </c>
      <c r="L54" s="50">
        <f t="shared" si="8"/>
        <v>23.59</v>
      </c>
      <c r="M54" s="102">
        <f t="shared" si="9"/>
        <v>224.09</v>
      </c>
      <c r="N54" s="102">
        <f t="shared" si="10"/>
        <v>0</v>
      </c>
      <c r="O54" s="102">
        <f t="shared" si="11"/>
        <v>33.200000000000003</v>
      </c>
      <c r="P54" s="103">
        <f t="shared" si="12"/>
        <v>257.29000000000002</v>
      </c>
    </row>
    <row r="55" spans="1:16" s="56" customFormat="1" ht="15.05">
      <c r="A55" s="481">
        <v>0</v>
      </c>
      <c r="B55" s="482"/>
      <c r="C55" s="483" t="s">
        <v>1121</v>
      </c>
      <c r="D55" s="482" t="s">
        <v>1120</v>
      </c>
      <c r="E55" s="473">
        <f>E54*1.15</f>
        <v>0.9544999999999999</v>
      </c>
      <c r="F55" s="462"/>
      <c r="G55" s="463"/>
      <c r="H55" s="455">
        <f t="shared" si="13"/>
        <v>0</v>
      </c>
      <c r="I55" s="464">
        <v>640</v>
      </c>
      <c r="J55" s="464"/>
      <c r="K55" s="102">
        <f t="shared" si="7"/>
        <v>640</v>
      </c>
      <c r="L55" s="50">
        <f t="shared" si="8"/>
        <v>0</v>
      </c>
      <c r="M55" s="102">
        <f t="shared" si="9"/>
        <v>0</v>
      </c>
      <c r="N55" s="102">
        <f t="shared" si="10"/>
        <v>610.88</v>
      </c>
      <c r="O55" s="102">
        <f t="shared" si="11"/>
        <v>0</v>
      </c>
      <c r="P55" s="103">
        <f t="shared" si="12"/>
        <v>610.88</v>
      </c>
    </row>
    <row r="56" spans="1:16" s="56" customFormat="1" ht="30.15">
      <c r="A56" s="481">
        <v>0</v>
      </c>
      <c r="B56" s="482"/>
      <c r="C56" s="483" t="s">
        <v>1122</v>
      </c>
      <c r="D56" s="482" t="s">
        <v>136</v>
      </c>
      <c r="E56" s="473">
        <v>1</v>
      </c>
      <c r="F56" s="462"/>
      <c r="G56" s="463"/>
      <c r="H56" s="455">
        <f t="shared" si="13"/>
        <v>0</v>
      </c>
      <c r="I56" s="464">
        <f>90*E54</f>
        <v>74.7</v>
      </c>
      <c r="J56" s="464"/>
      <c r="K56" s="102">
        <f t="shared" si="7"/>
        <v>74.7</v>
      </c>
      <c r="L56" s="50">
        <f t="shared" si="8"/>
        <v>0</v>
      </c>
      <c r="M56" s="102">
        <f t="shared" si="9"/>
        <v>0</v>
      </c>
      <c r="N56" s="102">
        <f t="shared" si="10"/>
        <v>74.7</v>
      </c>
      <c r="O56" s="102">
        <f t="shared" si="11"/>
        <v>0</v>
      </c>
      <c r="P56" s="103">
        <f t="shared" si="12"/>
        <v>74.7</v>
      </c>
    </row>
    <row r="57" spans="1:16" s="56" customFormat="1" ht="15.05">
      <c r="A57" s="481">
        <v>20</v>
      </c>
      <c r="B57" s="482"/>
      <c r="C57" s="483" t="s">
        <v>1123</v>
      </c>
      <c r="D57" s="482" t="s">
        <v>1110</v>
      </c>
      <c r="E57" s="473">
        <v>16</v>
      </c>
      <c r="F57" s="462">
        <v>0.57999999999999996</v>
      </c>
      <c r="G57" s="463">
        <v>9.5</v>
      </c>
      <c r="H57" s="455">
        <f t="shared" si="13"/>
        <v>5.51</v>
      </c>
      <c r="I57" s="464">
        <v>16</v>
      </c>
      <c r="J57" s="464">
        <v>1</v>
      </c>
      <c r="K57" s="102">
        <f t="shared" si="7"/>
        <v>22.509999999999998</v>
      </c>
      <c r="L57" s="50">
        <f t="shared" si="8"/>
        <v>9.2799999999999994</v>
      </c>
      <c r="M57" s="102">
        <f t="shared" si="9"/>
        <v>88.16</v>
      </c>
      <c r="N57" s="102">
        <f t="shared" si="10"/>
        <v>256</v>
      </c>
      <c r="O57" s="102">
        <f t="shared" si="11"/>
        <v>16</v>
      </c>
      <c r="P57" s="103">
        <f t="shared" si="12"/>
        <v>360.15999999999997</v>
      </c>
    </row>
    <row r="58" spans="1:16" s="56" customFormat="1" ht="15.05">
      <c r="A58" s="481">
        <v>21</v>
      </c>
      <c r="B58" s="482"/>
      <c r="C58" s="483" t="s">
        <v>1124</v>
      </c>
      <c r="D58" s="482" t="s">
        <v>884</v>
      </c>
      <c r="E58" s="473">
        <v>5.6</v>
      </c>
      <c r="F58" s="462">
        <v>3.98</v>
      </c>
      <c r="G58" s="463">
        <v>9.5</v>
      </c>
      <c r="H58" s="455">
        <f t="shared" si="13"/>
        <v>37.81</v>
      </c>
      <c r="I58" s="464">
        <v>0</v>
      </c>
      <c r="J58" s="464">
        <v>2.8</v>
      </c>
      <c r="K58" s="102">
        <f t="shared" si="7"/>
        <v>40.61</v>
      </c>
      <c r="L58" s="50">
        <f t="shared" si="8"/>
        <v>22.29</v>
      </c>
      <c r="M58" s="102">
        <f t="shared" si="9"/>
        <v>211.74</v>
      </c>
      <c r="N58" s="102">
        <f t="shared" si="10"/>
        <v>0</v>
      </c>
      <c r="O58" s="102">
        <f t="shared" si="11"/>
        <v>15.68</v>
      </c>
      <c r="P58" s="103">
        <f t="shared" si="12"/>
        <v>227.42000000000002</v>
      </c>
    </row>
    <row r="59" spans="1:16" s="56" customFormat="1" ht="15.05">
      <c r="A59" s="481">
        <v>0</v>
      </c>
      <c r="B59" s="482"/>
      <c r="C59" s="483" t="s">
        <v>1125</v>
      </c>
      <c r="D59" s="482" t="s">
        <v>884</v>
      </c>
      <c r="E59" s="473">
        <f>E58*1.05</f>
        <v>5.88</v>
      </c>
      <c r="F59" s="462"/>
      <c r="G59" s="463"/>
      <c r="H59" s="455">
        <f t="shared" si="13"/>
        <v>0</v>
      </c>
      <c r="I59" s="464">
        <v>73</v>
      </c>
      <c r="J59" s="464"/>
      <c r="K59" s="102">
        <f t="shared" si="7"/>
        <v>73</v>
      </c>
      <c r="L59" s="50">
        <f t="shared" si="8"/>
        <v>0</v>
      </c>
      <c r="M59" s="102">
        <f t="shared" si="9"/>
        <v>0</v>
      </c>
      <c r="N59" s="102">
        <f t="shared" si="10"/>
        <v>429.24</v>
      </c>
      <c r="O59" s="102">
        <f t="shared" si="11"/>
        <v>0</v>
      </c>
      <c r="P59" s="103">
        <f t="shared" si="12"/>
        <v>429.24</v>
      </c>
    </row>
    <row r="60" spans="1:16" s="56" customFormat="1" ht="15.05">
      <c r="A60" s="481">
        <v>0</v>
      </c>
      <c r="B60" s="482"/>
      <c r="C60" s="483" t="s">
        <v>1116</v>
      </c>
      <c r="D60" s="482" t="s">
        <v>1117</v>
      </c>
      <c r="E60" s="473">
        <f>E58*0.25</f>
        <v>1.4</v>
      </c>
      <c r="F60" s="462"/>
      <c r="G60" s="463"/>
      <c r="H60" s="455">
        <f t="shared" si="13"/>
        <v>0</v>
      </c>
      <c r="I60" s="464">
        <v>0</v>
      </c>
      <c r="J60" s="464">
        <v>80</v>
      </c>
      <c r="K60" s="102">
        <f t="shared" si="7"/>
        <v>80</v>
      </c>
      <c r="L60" s="50">
        <f t="shared" si="8"/>
        <v>0</v>
      </c>
      <c r="M60" s="102">
        <f t="shared" si="9"/>
        <v>0</v>
      </c>
      <c r="N60" s="102">
        <f t="shared" si="10"/>
        <v>0</v>
      </c>
      <c r="O60" s="102">
        <f t="shared" si="11"/>
        <v>112</v>
      </c>
      <c r="P60" s="103">
        <f t="shared" si="12"/>
        <v>112</v>
      </c>
    </row>
    <row r="61" spans="1:16" s="56" customFormat="1" ht="15.05">
      <c r="A61" s="481">
        <v>22</v>
      </c>
      <c r="B61" s="482"/>
      <c r="C61" s="483" t="s">
        <v>1126</v>
      </c>
      <c r="D61" s="482" t="s">
        <v>29</v>
      </c>
      <c r="E61" s="473">
        <v>0.8</v>
      </c>
      <c r="F61" s="462">
        <v>0.26</v>
      </c>
      <c r="G61" s="463">
        <v>9.5</v>
      </c>
      <c r="H61" s="455">
        <f t="shared" si="13"/>
        <v>2.4700000000000002</v>
      </c>
      <c r="I61" s="464">
        <v>2.4</v>
      </c>
      <c r="J61" s="464">
        <v>0.1</v>
      </c>
      <c r="K61" s="102">
        <f t="shared" si="7"/>
        <v>4.97</v>
      </c>
      <c r="L61" s="50">
        <f t="shared" si="8"/>
        <v>0.21</v>
      </c>
      <c r="M61" s="102">
        <f t="shared" si="9"/>
        <v>1.98</v>
      </c>
      <c r="N61" s="102">
        <f t="shared" si="10"/>
        <v>1.92</v>
      </c>
      <c r="O61" s="102">
        <f t="shared" si="11"/>
        <v>0.08</v>
      </c>
      <c r="P61" s="103">
        <f t="shared" si="12"/>
        <v>3.98</v>
      </c>
    </row>
    <row r="62" spans="1:16" s="56" customFormat="1" ht="15.05">
      <c r="A62" s="470">
        <v>0</v>
      </c>
      <c r="B62" s="471"/>
      <c r="C62" s="479"/>
      <c r="D62" s="471"/>
      <c r="E62" s="473"/>
      <c r="F62" s="462"/>
      <c r="G62" s="463"/>
      <c r="H62" s="455">
        <f t="shared" si="13"/>
        <v>0</v>
      </c>
      <c r="I62" s="464"/>
      <c r="J62" s="464"/>
      <c r="K62" s="102">
        <f t="shared" si="7"/>
        <v>0</v>
      </c>
      <c r="L62" s="50">
        <f t="shared" si="8"/>
        <v>0</v>
      </c>
      <c r="M62" s="102">
        <f t="shared" si="9"/>
        <v>0</v>
      </c>
      <c r="N62" s="102">
        <f t="shared" si="10"/>
        <v>0</v>
      </c>
      <c r="O62" s="102">
        <f t="shared" si="11"/>
        <v>0</v>
      </c>
      <c r="P62" s="103">
        <f t="shared" si="12"/>
        <v>0</v>
      </c>
    </row>
    <row r="63" spans="1:16" s="56" customFormat="1" ht="15.05">
      <c r="A63" s="470">
        <v>0</v>
      </c>
      <c r="B63" s="471"/>
      <c r="C63" s="480" t="s">
        <v>1130</v>
      </c>
      <c r="D63" s="471"/>
      <c r="E63" s="473"/>
      <c r="F63" s="462"/>
      <c r="G63" s="463"/>
      <c r="H63" s="455">
        <f t="shared" si="13"/>
        <v>0</v>
      </c>
      <c r="I63" s="464"/>
      <c r="J63" s="464"/>
      <c r="K63" s="102">
        <f t="shared" si="7"/>
        <v>0</v>
      </c>
      <c r="L63" s="50">
        <f t="shared" si="8"/>
        <v>0</v>
      </c>
      <c r="M63" s="102">
        <f t="shared" si="9"/>
        <v>0</v>
      </c>
      <c r="N63" s="102">
        <f t="shared" si="10"/>
        <v>0</v>
      </c>
      <c r="O63" s="102">
        <f t="shared" si="11"/>
        <v>0</v>
      </c>
      <c r="P63" s="103">
        <f t="shared" si="12"/>
        <v>0</v>
      </c>
    </row>
    <row r="64" spans="1:16" s="56" customFormat="1" ht="15.05">
      <c r="A64" s="481">
        <v>23</v>
      </c>
      <c r="B64" s="482"/>
      <c r="C64" s="483" t="s">
        <v>1113</v>
      </c>
      <c r="D64" s="482" t="s">
        <v>884</v>
      </c>
      <c r="E64" s="473">
        <v>0.4</v>
      </c>
      <c r="F64" s="462">
        <v>1</v>
      </c>
      <c r="G64" s="463">
        <v>9.5</v>
      </c>
      <c r="H64" s="455">
        <f t="shared" si="13"/>
        <v>9.5</v>
      </c>
      <c r="I64" s="464">
        <v>22.8</v>
      </c>
      <c r="J64" s="464">
        <v>1.5</v>
      </c>
      <c r="K64" s="102">
        <f t="shared" si="7"/>
        <v>33.799999999999997</v>
      </c>
      <c r="L64" s="50">
        <f t="shared" si="8"/>
        <v>0.4</v>
      </c>
      <c r="M64" s="102">
        <f t="shared" si="9"/>
        <v>3.8</v>
      </c>
      <c r="N64" s="102">
        <f t="shared" si="10"/>
        <v>9.1199999999999992</v>
      </c>
      <c r="O64" s="102">
        <f t="shared" si="11"/>
        <v>0.6</v>
      </c>
      <c r="P64" s="103">
        <f t="shared" si="12"/>
        <v>13.519999999999998</v>
      </c>
    </row>
    <row r="65" spans="1:16" s="56" customFormat="1" ht="15.05">
      <c r="A65" s="481">
        <v>24</v>
      </c>
      <c r="B65" s="482"/>
      <c r="C65" s="483" t="s">
        <v>1114</v>
      </c>
      <c r="D65" s="482" t="s">
        <v>884</v>
      </c>
      <c r="E65" s="473">
        <v>0.1</v>
      </c>
      <c r="F65" s="462">
        <v>3.32</v>
      </c>
      <c r="G65" s="463">
        <v>9.5</v>
      </c>
      <c r="H65" s="455">
        <f t="shared" si="13"/>
        <v>31.54</v>
      </c>
      <c r="I65" s="464"/>
      <c r="J65" s="464">
        <v>14</v>
      </c>
      <c r="K65" s="102">
        <f t="shared" si="7"/>
        <v>45.54</v>
      </c>
      <c r="L65" s="50">
        <f t="shared" si="8"/>
        <v>0.33</v>
      </c>
      <c r="M65" s="102">
        <f t="shared" si="9"/>
        <v>3.15</v>
      </c>
      <c r="N65" s="102">
        <f t="shared" si="10"/>
        <v>0</v>
      </c>
      <c r="O65" s="102">
        <f t="shared" si="11"/>
        <v>1.4</v>
      </c>
      <c r="P65" s="103">
        <f t="shared" si="12"/>
        <v>4.55</v>
      </c>
    </row>
    <row r="66" spans="1:16" s="56" customFormat="1" ht="15.05">
      <c r="A66" s="481">
        <v>0</v>
      </c>
      <c r="B66" s="482"/>
      <c r="C66" s="483" t="s">
        <v>1115</v>
      </c>
      <c r="D66" s="482" t="s">
        <v>884</v>
      </c>
      <c r="E66" s="473">
        <f>E65*1.05</f>
        <v>0.10500000000000001</v>
      </c>
      <c r="F66" s="462"/>
      <c r="G66" s="463"/>
      <c r="H66" s="455">
        <f t="shared" si="13"/>
        <v>0</v>
      </c>
      <c r="I66" s="464">
        <v>54</v>
      </c>
      <c r="J66" s="464"/>
      <c r="K66" s="102">
        <f t="shared" si="7"/>
        <v>54</v>
      </c>
      <c r="L66" s="50">
        <f t="shared" si="8"/>
        <v>0</v>
      </c>
      <c r="M66" s="102">
        <f t="shared" si="9"/>
        <v>0</v>
      </c>
      <c r="N66" s="102">
        <f t="shared" si="10"/>
        <v>5.67</v>
      </c>
      <c r="O66" s="102">
        <f t="shared" si="11"/>
        <v>0</v>
      </c>
      <c r="P66" s="103">
        <f t="shared" si="12"/>
        <v>5.67</v>
      </c>
    </row>
    <row r="67" spans="1:16" s="56" customFormat="1" ht="15.05">
      <c r="A67" s="481">
        <v>0</v>
      </c>
      <c r="B67" s="482"/>
      <c r="C67" s="483" t="s">
        <v>1116</v>
      </c>
      <c r="D67" s="482" t="s">
        <v>1117</v>
      </c>
      <c r="E67" s="473">
        <f>E65*0.25</f>
        <v>2.5000000000000001E-2</v>
      </c>
      <c r="F67" s="462"/>
      <c r="G67" s="463"/>
      <c r="H67" s="455">
        <f t="shared" si="13"/>
        <v>0</v>
      </c>
      <c r="I67" s="464">
        <v>0</v>
      </c>
      <c r="J67" s="464">
        <v>80</v>
      </c>
      <c r="K67" s="102">
        <f t="shared" si="7"/>
        <v>80</v>
      </c>
      <c r="L67" s="50">
        <f t="shared" si="8"/>
        <v>0</v>
      </c>
      <c r="M67" s="102">
        <f t="shared" si="9"/>
        <v>0</v>
      </c>
      <c r="N67" s="102">
        <f t="shared" si="10"/>
        <v>0</v>
      </c>
      <c r="O67" s="102">
        <f t="shared" si="11"/>
        <v>2</v>
      </c>
      <c r="P67" s="103">
        <f t="shared" si="12"/>
        <v>2</v>
      </c>
    </row>
    <row r="68" spans="1:16" s="56" customFormat="1" ht="30.15">
      <c r="A68" s="481">
        <v>25</v>
      </c>
      <c r="B68" s="482"/>
      <c r="C68" s="483" t="s">
        <v>1118</v>
      </c>
      <c r="D68" s="482" t="s">
        <v>29</v>
      </c>
      <c r="E68" s="473">
        <v>24</v>
      </c>
      <c r="F68" s="462">
        <v>0.65</v>
      </c>
      <c r="G68" s="463">
        <v>9.5</v>
      </c>
      <c r="H68" s="455">
        <f t="shared" si="13"/>
        <v>6.18</v>
      </c>
      <c r="I68" s="464">
        <v>0.68</v>
      </c>
      <c r="J68" s="464">
        <v>8.5</v>
      </c>
      <c r="K68" s="102">
        <f t="shared" si="7"/>
        <v>15.36</v>
      </c>
      <c r="L68" s="50">
        <f t="shared" si="8"/>
        <v>15.6</v>
      </c>
      <c r="M68" s="102">
        <f t="shared" si="9"/>
        <v>148.32</v>
      </c>
      <c r="N68" s="102">
        <f t="shared" si="10"/>
        <v>16.32</v>
      </c>
      <c r="O68" s="102">
        <f t="shared" si="11"/>
        <v>204</v>
      </c>
      <c r="P68" s="103">
        <f t="shared" si="12"/>
        <v>368.64</v>
      </c>
    </row>
    <row r="69" spans="1:16" s="56" customFormat="1" ht="30.15">
      <c r="A69" s="481">
        <v>26</v>
      </c>
      <c r="B69" s="482"/>
      <c r="C69" s="483" t="s">
        <v>1119</v>
      </c>
      <c r="D69" s="482" t="s">
        <v>1120</v>
      </c>
      <c r="E69" s="473">
        <v>0.5</v>
      </c>
      <c r="F69" s="462">
        <v>28.42</v>
      </c>
      <c r="G69" s="463">
        <v>9.5</v>
      </c>
      <c r="H69" s="455">
        <f t="shared" si="13"/>
        <v>269.99</v>
      </c>
      <c r="I69" s="464">
        <v>0</v>
      </c>
      <c r="J69" s="464">
        <v>40</v>
      </c>
      <c r="K69" s="102">
        <f t="shared" si="7"/>
        <v>309.99</v>
      </c>
      <c r="L69" s="50">
        <f t="shared" si="8"/>
        <v>14.21</v>
      </c>
      <c r="M69" s="102">
        <f t="shared" si="9"/>
        <v>135</v>
      </c>
      <c r="N69" s="102">
        <f t="shared" si="10"/>
        <v>0</v>
      </c>
      <c r="O69" s="102">
        <f t="shared" si="11"/>
        <v>20</v>
      </c>
      <c r="P69" s="103">
        <f t="shared" si="12"/>
        <v>155</v>
      </c>
    </row>
    <row r="70" spans="1:16" s="56" customFormat="1" ht="15.05">
      <c r="A70" s="481">
        <v>0</v>
      </c>
      <c r="B70" s="482"/>
      <c r="C70" s="483" t="s">
        <v>1121</v>
      </c>
      <c r="D70" s="482" t="s">
        <v>1120</v>
      </c>
      <c r="E70" s="473">
        <f>E69*1.15</f>
        <v>0.57499999999999996</v>
      </c>
      <c r="F70" s="462"/>
      <c r="G70" s="463"/>
      <c r="H70" s="455">
        <f t="shared" si="13"/>
        <v>0</v>
      </c>
      <c r="I70" s="464">
        <v>640</v>
      </c>
      <c r="J70" s="464"/>
      <c r="K70" s="102">
        <f t="shared" si="7"/>
        <v>640</v>
      </c>
      <c r="L70" s="50">
        <f t="shared" si="8"/>
        <v>0</v>
      </c>
      <c r="M70" s="102">
        <f t="shared" si="9"/>
        <v>0</v>
      </c>
      <c r="N70" s="102">
        <f t="shared" si="10"/>
        <v>368</v>
      </c>
      <c r="O70" s="102">
        <f t="shared" si="11"/>
        <v>0</v>
      </c>
      <c r="P70" s="103">
        <f t="shared" si="12"/>
        <v>368</v>
      </c>
    </row>
    <row r="71" spans="1:16" s="56" customFormat="1" ht="30.15">
      <c r="A71" s="481">
        <v>0</v>
      </c>
      <c r="B71" s="482"/>
      <c r="C71" s="483" t="s">
        <v>1122</v>
      </c>
      <c r="D71" s="482" t="s">
        <v>136</v>
      </c>
      <c r="E71" s="473">
        <v>1</v>
      </c>
      <c r="F71" s="462"/>
      <c r="G71" s="463"/>
      <c r="H71" s="455">
        <f t="shared" si="13"/>
        <v>0</v>
      </c>
      <c r="I71" s="464">
        <f>90*E69</f>
        <v>45</v>
      </c>
      <c r="J71" s="464"/>
      <c r="K71" s="102">
        <f t="shared" si="7"/>
        <v>45</v>
      </c>
      <c r="L71" s="50">
        <f t="shared" si="8"/>
        <v>0</v>
      </c>
      <c r="M71" s="102">
        <f t="shared" si="9"/>
        <v>0</v>
      </c>
      <c r="N71" s="102">
        <f t="shared" si="10"/>
        <v>45</v>
      </c>
      <c r="O71" s="102">
        <f t="shared" si="11"/>
        <v>0</v>
      </c>
      <c r="P71" s="103">
        <f t="shared" si="12"/>
        <v>45</v>
      </c>
    </row>
    <row r="72" spans="1:16" s="56" customFormat="1" ht="15.05">
      <c r="A72" s="481">
        <v>27</v>
      </c>
      <c r="B72" s="482"/>
      <c r="C72" s="483" t="s">
        <v>1128</v>
      </c>
      <c r="D72" s="482" t="s">
        <v>1110</v>
      </c>
      <c r="E72" s="473">
        <v>8</v>
      </c>
      <c r="F72" s="462">
        <v>0.57999999999999996</v>
      </c>
      <c r="G72" s="463">
        <v>9.5</v>
      </c>
      <c r="H72" s="455">
        <f t="shared" si="13"/>
        <v>5.51</v>
      </c>
      <c r="I72" s="464">
        <v>22</v>
      </c>
      <c r="J72" s="464">
        <v>1</v>
      </c>
      <c r="K72" s="102">
        <f t="shared" si="7"/>
        <v>28.509999999999998</v>
      </c>
      <c r="L72" s="50">
        <f t="shared" si="8"/>
        <v>4.6399999999999997</v>
      </c>
      <c r="M72" s="102">
        <f t="shared" si="9"/>
        <v>44.08</v>
      </c>
      <c r="N72" s="102">
        <f t="shared" si="10"/>
        <v>176</v>
      </c>
      <c r="O72" s="102">
        <f t="shared" si="11"/>
        <v>8</v>
      </c>
      <c r="P72" s="103">
        <f t="shared" si="12"/>
        <v>228.07999999999998</v>
      </c>
    </row>
    <row r="73" spans="1:16" s="56" customFormat="1" ht="15.05">
      <c r="A73" s="481">
        <v>28</v>
      </c>
      <c r="B73" s="482"/>
      <c r="C73" s="483" t="s">
        <v>1124</v>
      </c>
      <c r="D73" s="482" t="s">
        <v>884</v>
      </c>
      <c r="E73" s="473">
        <v>3</v>
      </c>
      <c r="F73" s="462">
        <v>3.98</v>
      </c>
      <c r="G73" s="463">
        <v>9.5</v>
      </c>
      <c r="H73" s="455">
        <f t="shared" si="13"/>
        <v>37.81</v>
      </c>
      <c r="I73" s="464">
        <v>0</v>
      </c>
      <c r="J73" s="464">
        <v>2.8</v>
      </c>
      <c r="K73" s="102">
        <f t="shared" si="7"/>
        <v>40.61</v>
      </c>
      <c r="L73" s="50">
        <f t="shared" si="8"/>
        <v>11.94</v>
      </c>
      <c r="M73" s="102">
        <f t="shared" si="9"/>
        <v>113.43</v>
      </c>
      <c r="N73" s="102">
        <f t="shared" si="10"/>
        <v>0</v>
      </c>
      <c r="O73" s="102">
        <f t="shared" si="11"/>
        <v>8.4</v>
      </c>
      <c r="P73" s="103">
        <f t="shared" si="12"/>
        <v>121.83000000000001</v>
      </c>
    </row>
    <row r="74" spans="1:16" s="56" customFormat="1" ht="15.05">
      <c r="A74" s="481">
        <v>0</v>
      </c>
      <c r="B74" s="482"/>
      <c r="C74" s="483" t="s">
        <v>1125</v>
      </c>
      <c r="D74" s="482" t="s">
        <v>884</v>
      </c>
      <c r="E74" s="473">
        <f>E73*1.05</f>
        <v>3.1500000000000004</v>
      </c>
      <c r="F74" s="462"/>
      <c r="G74" s="463"/>
      <c r="H74" s="455">
        <f t="shared" si="13"/>
        <v>0</v>
      </c>
      <c r="I74" s="464">
        <v>73</v>
      </c>
      <c r="J74" s="464"/>
      <c r="K74" s="102">
        <f t="shared" si="7"/>
        <v>73</v>
      </c>
      <c r="L74" s="50">
        <f t="shared" si="8"/>
        <v>0</v>
      </c>
      <c r="M74" s="102">
        <f t="shared" si="9"/>
        <v>0</v>
      </c>
      <c r="N74" s="102">
        <f t="shared" si="10"/>
        <v>229.95</v>
      </c>
      <c r="O74" s="102">
        <f t="shared" si="11"/>
        <v>0</v>
      </c>
      <c r="P74" s="103">
        <f t="shared" si="12"/>
        <v>229.95</v>
      </c>
    </row>
    <row r="75" spans="1:16" s="56" customFormat="1" ht="15.05">
      <c r="A75" s="481">
        <v>0</v>
      </c>
      <c r="B75" s="482"/>
      <c r="C75" s="483" t="s">
        <v>1116</v>
      </c>
      <c r="D75" s="482" t="s">
        <v>1117</v>
      </c>
      <c r="E75" s="473">
        <f>E73*0.25</f>
        <v>0.75</v>
      </c>
      <c r="F75" s="462"/>
      <c r="G75" s="463"/>
      <c r="H75" s="455">
        <f t="shared" si="13"/>
        <v>0</v>
      </c>
      <c r="I75" s="464">
        <v>0</v>
      </c>
      <c r="J75" s="464">
        <v>80</v>
      </c>
      <c r="K75" s="102">
        <f t="shared" si="7"/>
        <v>80</v>
      </c>
      <c r="L75" s="50">
        <f t="shared" si="8"/>
        <v>0</v>
      </c>
      <c r="M75" s="102">
        <f t="shared" si="9"/>
        <v>0</v>
      </c>
      <c r="N75" s="102">
        <f t="shared" si="10"/>
        <v>0</v>
      </c>
      <c r="O75" s="102">
        <f t="shared" si="11"/>
        <v>60</v>
      </c>
      <c r="P75" s="103">
        <f t="shared" si="12"/>
        <v>60</v>
      </c>
    </row>
    <row r="76" spans="1:16" s="56" customFormat="1" ht="15.05">
      <c r="A76" s="481">
        <v>29</v>
      </c>
      <c r="B76" s="482"/>
      <c r="C76" s="483" t="s">
        <v>1126</v>
      </c>
      <c r="D76" s="482" t="s">
        <v>29</v>
      </c>
      <c r="E76" s="473">
        <v>0.4</v>
      </c>
      <c r="F76" s="462">
        <v>0.26</v>
      </c>
      <c r="G76" s="463">
        <v>9.5</v>
      </c>
      <c r="H76" s="455">
        <f t="shared" si="13"/>
        <v>2.4700000000000002</v>
      </c>
      <c r="I76" s="464">
        <v>2.4</v>
      </c>
      <c r="J76" s="464">
        <v>0.1</v>
      </c>
      <c r="K76" s="102">
        <f t="shared" si="7"/>
        <v>4.97</v>
      </c>
      <c r="L76" s="50">
        <f t="shared" si="8"/>
        <v>0.1</v>
      </c>
      <c r="M76" s="102">
        <f t="shared" si="9"/>
        <v>0.99</v>
      </c>
      <c r="N76" s="102">
        <f t="shared" si="10"/>
        <v>0.96</v>
      </c>
      <c r="O76" s="102">
        <f t="shared" si="11"/>
        <v>0.04</v>
      </c>
      <c r="P76" s="103">
        <f t="shared" si="12"/>
        <v>1.99</v>
      </c>
    </row>
    <row r="77" spans="1:16" s="56" customFormat="1" ht="15.05">
      <c r="A77" s="470">
        <v>0</v>
      </c>
      <c r="B77" s="471"/>
      <c r="C77" s="479"/>
      <c r="D77" s="471"/>
      <c r="E77" s="473"/>
      <c r="F77" s="462"/>
      <c r="G77" s="463"/>
      <c r="H77" s="455">
        <f t="shared" si="13"/>
        <v>0</v>
      </c>
      <c r="I77" s="464"/>
      <c r="J77" s="464"/>
      <c r="K77" s="102">
        <f t="shared" si="7"/>
        <v>0</v>
      </c>
      <c r="L77" s="50">
        <f t="shared" si="8"/>
        <v>0</v>
      </c>
      <c r="M77" s="102">
        <f t="shared" si="9"/>
        <v>0</v>
      </c>
      <c r="N77" s="102">
        <f t="shared" si="10"/>
        <v>0</v>
      </c>
      <c r="O77" s="102">
        <f t="shared" si="11"/>
        <v>0</v>
      </c>
      <c r="P77" s="103">
        <f t="shared" si="12"/>
        <v>0</v>
      </c>
    </row>
    <row r="78" spans="1:16" s="56" customFormat="1" ht="15.05">
      <c r="A78" s="470">
        <v>0</v>
      </c>
      <c r="B78" s="471"/>
      <c r="C78" s="480" t="s">
        <v>1131</v>
      </c>
      <c r="D78" s="471"/>
      <c r="E78" s="473"/>
      <c r="F78" s="462"/>
      <c r="G78" s="463"/>
      <c r="H78" s="455">
        <f t="shared" si="13"/>
        <v>0</v>
      </c>
      <c r="I78" s="464"/>
      <c r="J78" s="464"/>
      <c r="K78" s="102">
        <f t="shared" si="7"/>
        <v>0</v>
      </c>
      <c r="L78" s="50">
        <f t="shared" si="8"/>
        <v>0</v>
      </c>
      <c r="M78" s="102">
        <f t="shared" si="9"/>
        <v>0</v>
      </c>
      <c r="N78" s="102">
        <f t="shared" si="10"/>
        <v>0</v>
      </c>
      <c r="O78" s="102">
        <f t="shared" si="11"/>
        <v>0</v>
      </c>
      <c r="P78" s="103">
        <f t="shared" si="12"/>
        <v>0</v>
      </c>
    </row>
    <row r="79" spans="1:16" s="56" customFormat="1" ht="15.05">
      <c r="A79" s="481">
        <v>30</v>
      </c>
      <c r="B79" s="482"/>
      <c r="C79" s="483" t="s">
        <v>1113</v>
      </c>
      <c r="D79" s="482" t="s">
        <v>884</v>
      </c>
      <c r="E79" s="473">
        <v>7.68</v>
      </c>
      <c r="F79" s="462">
        <v>1</v>
      </c>
      <c r="G79" s="463">
        <v>9.5</v>
      </c>
      <c r="H79" s="455">
        <f t="shared" ref="H79:H110" si="14">ROUND(F79*G79,2)</f>
        <v>9.5</v>
      </c>
      <c r="I79" s="464">
        <v>22.8</v>
      </c>
      <c r="J79" s="464">
        <v>1.5</v>
      </c>
      <c r="K79" s="102">
        <f t="shared" ref="K79:K133" si="15">SUM(H79:J79)</f>
        <v>33.799999999999997</v>
      </c>
      <c r="L79" s="50">
        <f t="shared" ref="L79:L133" si="16">ROUND(F79*E79,2)</f>
        <v>7.68</v>
      </c>
      <c r="M79" s="102">
        <f t="shared" ref="M79:M133" si="17">ROUND(H79*E79,2)</f>
        <v>72.959999999999994</v>
      </c>
      <c r="N79" s="102">
        <f t="shared" ref="N79:N133" si="18">ROUND(I79*E79,2)</f>
        <v>175.1</v>
      </c>
      <c r="O79" s="102">
        <f t="shared" ref="O79:O133" si="19">ROUND(J79*E79,2)</f>
        <v>11.52</v>
      </c>
      <c r="P79" s="103">
        <f t="shared" ref="P79:P133" si="20">SUM(M79:O79)</f>
        <v>259.58</v>
      </c>
    </row>
    <row r="80" spans="1:16" s="56" customFormat="1" ht="15.05">
      <c r="A80" s="481">
        <v>31</v>
      </c>
      <c r="B80" s="482"/>
      <c r="C80" s="483" t="s">
        <v>1114</v>
      </c>
      <c r="D80" s="482" t="s">
        <v>884</v>
      </c>
      <c r="E80" s="473">
        <v>1.92</v>
      </c>
      <c r="F80" s="462">
        <v>3.32</v>
      </c>
      <c r="G80" s="463">
        <v>9.5</v>
      </c>
      <c r="H80" s="455">
        <f t="shared" si="14"/>
        <v>31.54</v>
      </c>
      <c r="I80" s="464"/>
      <c r="J80" s="464">
        <v>14</v>
      </c>
      <c r="K80" s="102">
        <f t="shared" si="15"/>
        <v>45.54</v>
      </c>
      <c r="L80" s="50">
        <f t="shared" si="16"/>
        <v>6.37</v>
      </c>
      <c r="M80" s="102">
        <f t="shared" si="17"/>
        <v>60.56</v>
      </c>
      <c r="N80" s="102">
        <f t="shared" si="18"/>
        <v>0</v>
      </c>
      <c r="O80" s="102">
        <f t="shared" si="19"/>
        <v>26.88</v>
      </c>
      <c r="P80" s="103">
        <f t="shared" si="20"/>
        <v>87.44</v>
      </c>
    </row>
    <row r="81" spans="1:16" s="56" customFormat="1" ht="15.05">
      <c r="A81" s="481">
        <v>0</v>
      </c>
      <c r="B81" s="482"/>
      <c r="C81" s="483" t="s">
        <v>1115</v>
      </c>
      <c r="D81" s="482" t="s">
        <v>884</v>
      </c>
      <c r="E81" s="473">
        <f>E80*1.05</f>
        <v>2.016</v>
      </c>
      <c r="F81" s="462"/>
      <c r="G81" s="463"/>
      <c r="H81" s="455">
        <f t="shared" si="14"/>
        <v>0</v>
      </c>
      <c r="I81" s="464">
        <v>54</v>
      </c>
      <c r="J81" s="464"/>
      <c r="K81" s="102">
        <f t="shared" si="15"/>
        <v>54</v>
      </c>
      <c r="L81" s="50">
        <f t="shared" si="16"/>
        <v>0</v>
      </c>
      <c r="M81" s="102">
        <f t="shared" si="17"/>
        <v>0</v>
      </c>
      <c r="N81" s="102">
        <f t="shared" si="18"/>
        <v>108.86</v>
      </c>
      <c r="O81" s="102">
        <f t="shared" si="19"/>
        <v>0</v>
      </c>
      <c r="P81" s="103">
        <f t="shared" si="20"/>
        <v>108.86</v>
      </c>
    </row>
    <row r="82" spans="1:16" s="56" customFormat="1" ht="15.05">
      <c r="A82" s="481">
        <v>0</v>
      </c>
      <c r="B82" s="482"/>
      <c r="C82" s="483" t="s">
        <v>1116</v>
      </c>
      <c r="D82" s="482" t="s">
        <v>1117</v>
      </c>
      <c r="E82" s="473">
        <f>E80*0.25</f>
        <v>0.48</v>
      </c>
      <c r="F82" s="462"/>
      <c r="G82" s="463"/>
      <c r="H82" s="455">
        <f t="shared" si="14"/>
        <v>0</v>
      </c>
      <c r="I82" s="464">
        <v>0</v>
      </c>
      <c r="J82" s="464">
        <v>80</v>
      </c>
      <c r="K82" s="102">
        <f t="shared" si="15"/>
        <v>80</v>
      </c>
      <c r="L82" s="50">
        <f t="shared" si="16"/>
        <v>0</v>
      </c>
      <c r="M82" s="102">
        <f t="shared" si="17"/>
        <v>0</v>
      </c>
      <c r="N82" s="102">
        <f t="shared" si="18"/>
        <v>0</v>
      </c>
      <c r="O82" s="102">
        <f t="shared" si="19"/>
        <v>38.4</v>
      </c>
      <c r="P82" s="103">
        <f t="shared" si="20"/>
        <v>38.4</v>
      </c>
    </row>
    <row r="83" spans="1:16" s="56" customFormat="1" ht="30.15">
      <c r="A83" s="481">
        <v>32</v>
      </c>
      <c r="B83" s="482"/>
      <c r="C83" s="483" t="s">
        <v>1118</v>
      </c>
      <c r="D83" s="482" t="s">
        <v>29</v>
      </c>
      <c r="E83" s="473">
        <v>320</v>
      </c>
      <c r="F83" s="462">
        <v>0.65</v>
      </c>
      <c r="G83" s="463">
        <v>9.5</v>
      </c>
      <c r="H83" s="455">
        <f t="shared" si="14"/>
        <v>6.18</v>
      </c>
      <c r="I83" s="464">
        <v>0.68</v>
      </c>
      <c r="J83" s="464">
        <v>8.5</v>
      </c>
      <c r="K83" s="102">
        <f t="shared" si="15"/>
        <v>15.36</v>
      </c>
      <c r="L83" s="50">
        <f t="shared" si="16"/>
        <v>208</v>
      </c>
      <c r="M83" s="102">
        <f t="shared" si="17"/>
        <v>1977.6</v>
      </c>
      <c r="N83" s="102">
        <f t="shared" si="18"/>
        <v>217.6</v>
      </c>
      <c r="O83" s="102">
        <f t="shared" si="19"/>
        <v>2720</v>
      </c>
      <c r="P83" s="103">
        <f t="shared" si="20"/>
        <v>4915.2</v>
      </c>
    </row>
    <row r="84" spans="1:16" s="56" customFormat="1" ht="30.15">
      <c r="A84" s="481">
        <v>33</v>
      </c>
      <c r="B84" s="482"/>
      <c r="C84" s="483" t="s">
        <v>1119</v>
      </c>
      <c r="D84" s="482" t="s">
        <v>1120</v>
      </c>
      <c r="E84" s="473">
        <v>7.44</v>
      </c>
      <c r="F84" s="462">
        <v>28.42</v>
      </c>
      <c r="G84" s="463">
        <v>9.5</v>
      </c>
      <c r="H84" s="455">
        <f t="shared" si="14"/>
        <v>269.99</v>
      </c>
      <c r="I84" s="464">
        <v>0</v>
      </c>
      <c r="J84" s="464">
        <v>40</v>
      </c>
      <c r="K84" s="102">
        <f t="shared" si="15"/>
        <v>309.99</v>
      </c>
      <c r="L84" s="50">
        <f t="shared" si="16"/>
        <v>211.44</v>
      </c>
      <c r="M84" s="102">
        <f t="shared" si="17"/>
        <v>2008.73</v>
      </c>
      <c r="N84" s="102">
        <f t="shared" si="18"/>
        <v>0</v>
      </c>
      <c r="O84" s="102">
        <f t="shared" si="19"/>
        <v>297.60000000000002</v>
      </c>
      <c r="P84" s="103">
        <f t="shared" si="20"/>
        <v>2306.33</v>
      </c>
    </row>
    <row r="85" spans="1:16" s="56" customFormat="1" ht="15.05">
      <c r="A85" s="481">
        <v>0</v>
      </c>
      <c r="B85" s="482"/>
      <c r="C85" s="483" t="s">
        <v>1121</v>
      </c>
      <c r="D85" s="482" t="s">
        <v>1120</v>
      </c>
      <c r="E85" s="473">
        <f>E84*1.15</f>
        <v>8.5559999999999992</v>
      </c>
      <c r="F85" s="462"/>
      <c r="G85" s="463"/>
      <c r="H85" s="455">
        <f t="shared" si="14"/>
        <v>0</v>
      </c>
      <c r="I85" s="464">
        <v>640</v>
      </c>
      <c r="J85" s="464"/>
      <c r="K85" s="102">
        <f t="shared" si="15"/>
        <v>640</v>
      </c>
      <c r="L85" s="50">
        <f t="shared" si="16"/>
        <v>0</v>
      </c>
      <c r="M85" s="102">
        <f t="shared" si="17"/>
        <v>0</v>
      </c>
      <c r="N85" s="102">
        <f t="shared" si="18"/>
        <v>5475.84</v>
      </c>
      <c r="O85" s="102">
        <f t="shared" si="19"/>
        <v>0</v>
      </c>
      <c r="P85" s="103">
        <f t="shared" si="20"/>
        <v>5475.84</v>
      </c>
    </row>
    <row r="86" spans="1:16" s="56" customFormat="1" ht="30.15">
      <c r="A86" s="481">
        <v>0</v>
      </c>
      <c r="B86" s="482"/>
      <c r="C86" s="483" t="s">
        <v>1122</v>
      </c>
      <c r="D86" s="482" t="s">
        <v>136</v>
      </c>
      <c r="E86" s="473">
        <v>1</v>
      </c>
      <c r="F86" s="462"/>
      <c r="G86" s="463"/>
      <c r="H86" s="455">
        <f t="shared" si="14"/>
        <v>0</v>
      </c>
      <c r="I86" s="464">
        <f>90*E84</f>
        <v>669.6</v>
      </c>
      <c r="J86" s="464"/>
      <c r="K86" s="102">
        <f t="shared" si="15"/>
        <v>669.6</v>
      </c>
      <c r="L86" s="50">
        <f t="shared" si="16"/>
        <v>0</v>
      </c>
      <c r="M86" s="102">
        <f t="shared" si="17"/>
        <v>0</v>
      </c>
      <c r="N86" s="102">
        <f t="shared" si="18"/>
        <v>669.6</v>
      </c>
      <c r="O86" s="102">
        <f t="shared" si="19"/>
        <v>0</v>
      </c>
      <c r="P86" s="103">
        <f t="shared" si="20"/>
        <v>669.6</v>
      </c>
    </row>
    <row r="87" spans="1:16" s="56" customFormat="1" ht="15.05">
      <c r="A87" s="481">
        <v>34</v>
      </c>
      <c r="B87" s="482"/>
      <c r="C87" s="483" t="s">
        <v>1123</v>
      </c>
      <c r="D87" s="482" t="s">
        <v>1110</v>
      </c>
      <c r="E87" s="473">
        <v>96</v>
      </c>
      <c r="F87" s="462">
        <v>0.57999999999999996</v>
      </c>
      <c r="G87" s="463">
        <v>9.5</v>
      </c>
      <c r="H87" s="455">
        <f t="shared" si="14"/>
        <v>5.51</v>
      </c>
      <c r="I87" s="464">
        <v>16</v>
      </c>
      <c r="J87" s="464">
        <v>1</v>
      </c>
      <c r="K87" s="102">
        <f t="shared" si="15"/>
        <v>22.509999999999998</v>
      </c>
      <c r="L87" s="50">
        <f t="shared" si="16"/>
        <v>55.68</v>
      </c>
      <c r="M87" s="102">
        <f t="shared" si="17"/>
        <v>528.96</v>
      </c>
      <c r="N87" s="102">
        <f t="shared" si="18"/>
        <v>1536</v>
      </c>
      <c r="O87" s="102">
        <f t="shared" si="19"/>
        <v>96</v>
      </c>
      <c r="P87" s="103">
        <f t="shared" si="20"/>
        <v>2160.96</v>
      </c>
    </row>
    <row r="88" spans="1:16" s="56" customFormat="1" ht="15.05">
      <c r="A88" s="481">
        <v>35</v>
      </c>
      <c r="B88" s="482"/>
      <c r="C88" s="483" t="s">
        <v>1124</v>
      </c>
      <c r="D88" s="482" t="s">
        <v>884</v>
      </c>
      <c r="E88" s="473">
        <v>48</v>
      </c>
      <c r="F88" s="462">
        <v>3.98</v>
      </c>
      <c r="G88" s="463">
        <v>9.5</v>
      </c>
      <c r="H88" s="455">
        <f t="shared" si="14"/>
        <v>37.81</v>
      </c>
      <c r="I88" s="464">
        <v>0</v>
      </c>
      <c r="J88" s="464">
        <v>2.8</v>
      </c>
      <c r="K88" s="102">
        <f t="shared" si="15"/>
        <v>40.61</v>
      </c>
      <c r="L88" s="50">
        <f t="shared" si="16"/>
        <v>191.04</v>
      </c>
      <c r="M88" s="102">
        <f t="shared" si="17"/>
        <v>1814.88</v>
      </c>
      <c r="N88" s="102">
        <f t="shared" si="18"/>
        <v>0</v>
      </c>
      <c r="O88" s="102">
        <f t="shared" si="19"/>
        <v>134.4</v>
      </c>
      <c r="P88" s="103">
        <f t="shared" si="20"/>
        <v>1949.2800000000002</v>
      </c>
    </row>
    <row r="89" spans="1:16" s="56" customFormat="1" ht="15.05">
      <c r="A89" s="481">
        <v>0</v>
      </c>
      <c r="B89" s="482"/>
      <c r="C89" s="483" t="s">
        <v>1125</v>
      </c>
      <c r="D89" s="482" t="s">
        <v>884</v>
      </c>
      <c r="E89" s="473">
        <f>E88*1.05</f>
        <v>50.400000000000006</v>
      </c>
      <c r="F89" s="462"/>
      <c r="G89" s="463"/>
      <c r="H89" s="455">
        <f t="shared" si="14"/>
        <v>0</v>
      </c>
      <c r="I89" s="464">
        <v>73</v>
      </c>
      <c r="J89" s="464"/>
      <c r="K89" s="102">
        <f t="shared" si="15"/>
        <v>73</v>
      </c>
      <c r="L89" s="50">
        <f t="shared" si="16"/>
        <v>0</v>
      </c>
      <c r="M89" s="102">
        <f t="shared" si="17"/>
        <v>0</v>
      </c>
      <c r="N89" s="102">
        <f t="shared" si="18"/>
        <v>3679.2</v>
      </c>
      <c r="O89" s="102">
        <f t="shared" si="19"/>
        <v>0</v>
      </c>
      <c r="P89" s="103">
        <f t="shared" si="20"/>
        <v>3679.2</v>
      </c>
    </row>
    <row r="90" spans="1:16" s="56" customFormat="1" ht="15.05">
      <c r="A90" s="481">
        <v>0</v>
      </c>
      <c r="B90" s="482"/>
      <c r="C90" s="483" t="s">
        <v>1116</v>
      </c>
      <c r="D90" s="482" t="s">
        <v>1117</v>
      </c>
      <c r="E90" s="473">
        <f>E88*0.25</f>
        <v>12</v>
      </c>
      <c r="F90" s="462"/>
      <c r="G90" s="463"/>
      <c r="H90" s="455">
        <f t="shared" si="14"/>
        <v>0</v>
      </c>
      <c r="I90" s="464">
        <v>0</v>
      </c>
      <c r="J90" s="464">
        <v>80</v>
      </c>
      <c r="K90" s="102">
        <f t="shared" si="15"/>
        <v>80</v>
      </c>
      <c r="L90" s="50">
        <f t="shared" si="16"/>
        <v>0</v>
      </c>
      <c r="M90" s="102">
        <f t="shared" si="17"/>
        <v>0</v>
      </c>
      <c r="N90" s="102">
        <f t="shared" si="18"/>
        <v>0</v>
      </c>
      <c r="O90" s="102">
        <f t="shared" si="19"/>
        <v>960</v>
      </c>
      <c r="P90" s="103">
        <f t="shared" si="20"/>
        <v>960</v>
      </c>
    </row>
    <row r="91" spans="1:16" s="56" customFormat="1" ht="15.05">
      <c r="A91" s="481">
        <v>36</v>
      </c>
      <c r="B91" s="482"/>
      <c r="C91" s="483" t="s">
        <v>1126</v>
      </c>
      <c r="D91" s="482" t="s">
        <v>29</v>
      </c>
      <c r="E91" s="473">
        <v>4.8</v>
      </c>
      <c r="F91" s="462">
        <v>0.26</v>
      </c>
      <c r="G91" s="463">
        <v>9.5</v>
      </c>
      <c r="H91" s="455">
        <f t="shared" si="14"/>
        <v>2.4700000000000002</v>
      </c>
      <c r="I91" s="464">
        <v>2.4</v>
      </c>
      <c r="J91" s="464">
        <v>0.1</v>
      </c>
      <c r="K91" s="102">
        <f t="shared" si="15"/>
        <v>4.97</v>
      </c>
      <c r="L91" s="50">
        <f t="shared" si="16"/>
        <v>1.25</v>
      </c>
      <c r="M91" s="102">
        <f t="shared" si="17"/>
        <v>11.86</v>
      </c>
      <c r="N91" s="102">
        <f t="shared" si="18"/>
        <v>11.52</v>
      </c>
      <c r="O91" s="102">
        <f t="shared" si="19"/>
        <v>0.48</v>
      </c>
      <c r="P91" s="103">
        <f t="shared" si="20"/>
        <v>23.86</v>
      </c>
    </row>
    <row r="92" spans="1:16" s="56" customFormat="1" ht="15.05">
      <c r="A92" s="470">
        <v>0</v>
      </c>
      <c r="B92" s="471"/>
      <c r="C92" s="479"/>
      <c r="D92" s="471"/>
      <c r="E92" s="473"/>
      <c r="F92" s="462"/>
      <c r="G92" s="463"/>
      <c r="H92" s="455">
        <f t="shared" si="14"/>
        <v>0</v>
      </c>
      <c r="I92" s="464"/>
      <c r="J92" s="464"/>
      <c r="K92" s="102">
        <f t="shared" si="15"/>
        <v>0</v>
      </c>
      <c r="L92" s="50">
        <f t="shared" si="16"/>
        <v>0</v>
      </c>
      <c r="M92" s="102">
        <f t="shared" si="17"/>
        <v>0</v>
      </c>
      <c r="N92" s="102">
        <f t="shared" si="18"/>
        <v>0</v>
      </c>
      <c r="O92" s="102">
        <f t="shared" si="19"/>
        <v>0</v>
      </c>
      <c r="P92" s="103">
        <f t="shared" si="20"/>
        <v>0</v>
      </c>
    </row>
    <row r="93" spans="1:16" s="56" customFormat="1" ht="15.05">
      <c r="A93" s="470">
        <v>0</v>
      </c>
      <c r="B93" s="471"/>
      <c r="C93" s="480" t="s">
        <v>1132</v>
      </c>
      <c r="D93" s="471"/>
      <c r="E93" s="473"/>
      <c r="F93" s="462"/>
      <c r="G93" s="463"/>
      <c r="H93" s="455">
        <f t="shared" si="14"/>
        <v>0</v>
      </c>
      <c r="I93" s="464"/>
      <c r="J93" s="464"/>
      <c r="K93" s="102">
        <f t="shared" si="15"/>
        <v>0</v>
      </c>
      <c r="L93" s="50">
        <f t="shared" si="16"/>
        <v>0</v>
      </c>
      <c r="M93" s="102">
        <f t="shared" si="17"/>
        <v>0</v>
      </c>
      <c r="N93" s="102">
        <f t="shared" si="18"/>
        <v>0</v>
      </c>
      <c r="O93" s="102">
        <f t="shared" si="19"/>
        <v>0</v>
      </c>
      <c r="P93" s="103">
        <f t="shared" si="20"/>
        <v>0</v>
      </c>
    </row>
    <row r="94" spans="1:16" s="56" customFormat="1" ht="15.05">
      <c r="A94" s="481">
        <v>37</v>
      </c>
      <c r="B94" s="482"/>
      <c r="C94" s="483" t="s">
        <v>1113</v>
      </c>
      <c r="D94" s="482" t="s">
        <v>884</v>
      </c>
      <c r="E94" s="473">
        <v>2.72</v>
      </c>
      <c r="F94" s="462">
        <v>1</v>
      </c>
      <c r="G94" s="463">
        <v>9.5</v>
      </c>
      <c r="H94" s="455">
        <f t="shared" si="14"/>
        <v>9.5</v>
      </c>
      <c r="I94" s="464">
        <v>22.8</v>
      </c>
      <c r="J94" s="464">
        <v>1.5</v>
      </c>
      <c r="K94" s="102">
        <f t="shared" si="15"/>
        <v>33.799999999999997</v>
      </c>
      <c r="L94" s="50">
        <f t="shared" si="16"/>
        <v>2.72</v>
      </c>
      <c r="M94" s="102">
        <f t="shared" si="17"/>
        <v>25.84</v>
      </c>
      <c r="N94" s="102">
        <f t="shared" si="18"/>
        <v>62.02</v>
      </c>
      <c r="O94" s="102">
        <f t="shared" si="19"/>
        <v>4.08</v>
      </c>
      <c r="P94" s="103">
        <f t="shared" si="20"/>
        <v>91.94</v>
      </c>
    </row>
    <row r="95" spans="1:16" s="56" customFormat="1" ht="15.05">
      <c r="A95" s="481">
        <v>38</v>
      </c>
      <c r="B95" s="482"/>
      <c r="C95" s="483" t="s">
        <v>1114</v>
      </c>
      <c r="D95" s="482" t="s">
        <v>884</v>
      </c>
      <c r="E95" s="473">
        <v>0.64</v>
      </c>
      <c r="F95" s="462">
        <v>3.32</v>
      </c>
      <c r="G95" s="463">
        <v>9.5</v>
      </c>
      <c r="H95" s="455">
        <f t="shared" si="14"/>
        <v>31.54</v>
      </c>
      <c r="I95" s="464"/>
      <c r="J95" s="464">
        <v>14</v>
      </c>
      <c r="K95" s="102">
        <f t="shared" si="15"/>
        <v>45.54</v>
      </c>
      <c r="L95" s="50">
        <f t="shared" si="16"/>
        <v>2.12</v>
      </c>
      <c r="M95" s="102">
        <f t="shared" si="17"/>
        <v>20.190000000000001</v>
      </c>
      <c r="N95" s="102">
        <f t="shared" si="18"/>
        <v>0</v>
      </c>
      <c r="O95" s="102">
        <f t="shared" si="19"/>
        <v>8.9600000000000009</v>
      </c>
      <c r="P95" s="103">
        <f t="shared" si="20"/>
        <v>29.150000000000002</v>
      </c>
    </row>
    <row r="96" spans="1:16" s="56" customFormat="1" ht="15.05">
      <c r="A96" s="481">
        <v>0</v>
      </c>
      <c r="B96" s="482"/>
      <c r="C96" s="483" t="s">
        <v>1115</v>
      </c>
      <c r="D96" s="482" t="s">
        <v>884</v>
      </c>
      <c r="E96" s="473">
        <f>E95*1.05</f>
        <v>0.67200000000000004</v>
      </c>
      <c r="F96" s="462"/>
      <c r="G96" s="463"/>
      <c r="H96" s="455">
        <f t="shared" si="14"/>
        <v>0</v>
      </c>
      <c r="I96" s="464">
        <v>54</v>
      </c>
      <c r="J96" s="464"/>
      <c r="K96" s="102">
        <f t="shared" si="15"/>
        <v>54</v>
      </c>
      <c r="L96" s="50">
        <f t="shared" si="16"/>
        <v>0</v>
      </c>
      <c r="M96" s="102">
        <f t="shared" si="17"/>
        <v>0</v>
      </c>
      <c r="N96" s="102">
        <f t="shared" si="18"/>
        <v>36.29</v>
      </c>
      <c r="O96" s="102">
        <f t="shared" si="19"/>
        <v>0</v>
      </c>
      <c r="P96" s="103">
        <f t="shared" si="20"/>
        <v>36.29</v>
      </c>
    </row>
    <row r="97" spans="1:16" s="56" customFormat="1" ht="15.05">
      <c r="A97" s="481">
        <v>0</v>
      </c>
      <c r="B97" s="482"/>
      <c r="C97" s="483" t="s">
        <v>1116</v>
      </c>
      <c r="D97" s="482" t="s">
        <v>1117</v>
      </c>
      <c r="E97" s="473">
        <f>E95*0.25</f>
        <v>0.16</v>
      </c>
      <c r="F97" s="462"/>
      <c r="G97" s="463"/>
      <c r="H97" s="455">
        <f t="shared" si="14"/>
        <v>0</v>
      </c>
      <c r="I97" s="464">
        <v>0</v>
      </c>
      <c r="J97" s="464">
        <v>80</v>
      </c>
      <c r="K97" s="102">
        <f t="shared" si="15"/>
        <v>80</v>
      </c>
      <c r="L97" s="50">
        <f t="shared" si="16"/>
        <v>0</v>
      </c>
      <c r="M97" s="102">
        <f t="shared" si="17"/>
        <v>0</v>
      </c>
      <c r="N97" s="102">
        <f t="shared" si="18"/>
        <v>0</v>
      </c>
      <c r="O97" s="102">
        <f t="shared" si="19"/>
        <v>12.8</v>
      </c>
      <c r="P97" s="103">
        <f t="shared" si="20"/>
        <v>12.8</v>
      </c>
    </row>
    <row r="98" spans="1:16" s="56" customFormat="1" ht="30.15">
      <c r="A98" s="481">
        <v>39</v>
      </c>
      <c r="B98" s="482"/>
      <c r="C98" s="483" t="s">
        <v>1118</v>
      </c>
      <c r="D98" s="482" t="s">
        <v>29</v>
      </c>
      <c r="E98" s="473">
        <v>142</v>
      </c>
      <c r="F98" s="462">
        <v>0.65</v>
      </c>
      <c r="G98" s="463">
        <v>9.5</v>
      </c>
      <c r="H98" s="455">
        <f t="shared" si="14"/>
        <v>6.18</v>
      </c>
      <c r="I98" s="464">
        <v>0.68</v>
      </c>
      <c r="J98" s="464">
        <v>8.5</v>
      </c>
      <c r="K98" s="102">
        <f t="shared" si="15"/>
        <v>15.36</v>
      </c>
      <c r="L98" s="50">
        <f t="shared" si="16"/>
        <v>92.3</v>
      </c>
      <c r="M98" s="102">
        <f t="shared" si="17"/>
        <v>877.56</v>
      </c>
      <c r="N98" s="102">
        <f t="shared" si="18"/>
        <v>96.56</v>
      </c>
      <c r="O98" s="102">
        <f t="shared" si="19"/>
        <v>1207</v>
      </c>
      <c r="P98" s="103">
        <f t="shared" si="20"/>
        <v>2181.12</v>
      </c>
    </row>
    <row r="99" spans="1:16" s="56" customFormat="1" ht="30.15">
      <c r="A99" s="481">
        <v>40</v>
      </c>
      <c r="B99" s="482"/>
      <c r="C99" s="483" t="s">
        <v>1119</v>
      </c>
      <c r="D99" s="482" t="s">
        <v>1120</v>
      </c>
      <c r="E99" s="473">
        <v>3.42</v>
      </c>
      <c r="F99" s="462">
        <v>28.42</v>
      </c>
      <c r="G99" s="463">
        <v>9.5</v>
      </c>
      <c r="H99" s="455">
        <f t="shared" si="14"/>
        <v>269.99</v>
      </c>
      <c r="I99" s="464">
        <v>0</v>
      </c>
      <c r="J99" s="464">
        <v>40</v>
      </c>
      <c r="K99" s="102">
        <f t="shared" si="15"/>
        <v>309.99</v>
      </c>
      <c r="L99" s="50">
        <f t="shared" si="16"/>
        <v>97.2</v>
      </c>
      <c r="M99" s="102">
        <f t="shared" si="17"/>
        <v>923.37</v>
      </c>
      <c r="N99" s="102">
        <f t="shared" si="18"/>
        <v>0</v>
      </c>
      <c r="O99" s="102">
        <f t="shared" si="19"/>
        <v>136.80000000000001</v>
      </c>
      <c r="P99" s="103">
        <f t="shared" si="20"/>
        <v>1060.17</v>
      </c>
    </row>
    <row r="100" spans="1:16" s="56" customFormat="1" ht="15.05">
      <c r="A100" s="481">
        <v>0</v>
      </c>
      <c r="B100" s="482"/>
      <c r="C100" s="483" t="s">
        <v>1121</v>
      </c>
      <c r="D100" s="482" t="s">
        <v>1120</v>
      </c>
      <c r="E100" s="473">
        <f>E99*1.15</f>
        <v>3.9329999999999998</v>
      </c>
      <c r="F100" s="462"/>
      <c r="G100" s="463"/>
      <c r="H100" s="455">
        <f t="shared" si="14"/>
        <v>0</v>
      </c>
      <c r="I100" s="464">
        <v>640</v>
      </c>
      <c r="J100" s="464"/>
      <c r="K100" s="102">
        <f t="shared" si="15"/>
        <v>640</v>
      </c>
      <c r="L100" s="50">
        <f t="shared" si="16"/>
        <v>0</v>
      </c>
      <c r="M100" s="102">
        <f t="shared" si="17"/>
        <v>0</v>
      </c>
      <c r="N100" s="102">
        <f t="shared" si="18"/>
        <v>2517.12</v>
      </c>
      <c r="O100" s="102">
        <f t="shared" si="19"/>
        <v>0</v>
      </c>
      <c r="P100" s="103">
        <f t="shared" si="20"/>
        <v>2517.12</v>
      </c>
    </row>
    <row r="101" spans="1:16" s="56" customFormat="1" ht="30.15">
      <c r="A101" s="481">
        <v>0</v>
      </c>
      <c r="B101" s="482"/>
      <c r="C101" s="483" t="s">
        <v>1122</v>
      </c>
      <c r="D101" s="482" t="s">
        <v>136</v>
      </c>
      <c r="E101" s="473">
        <v>1</v>
      </c>
      <c r="F101" s="462"/>
      <c r="G101" s="463"/>
      <c r="H101" s="455">
        <f t="shared" si="14"/>
        <v>0</v>
      </c>
      <c r="I101" s="464">
        <f>90*E99</f>
        <v>307.8</v>
      </c>
      <c r="J101" s="464"/>
      <c r="K101" s="102">
        <f t="shared" si="15"/>
        <v>307.8</v>
      </c>
      <c r="L101" s="50">
        <f t="shared" si="16"/>
        <v>0</v>
      </c>
      <c r="M101" s="102">
        <f t="shared" si="17"/>
        <v>0</v>
      </c>
      <c r="N101" s="102">
        <f t="shared" si="18"/>
        <v>307.8</v>
      </c>
      <c r="O101" s="102">
        <f t="shared" si="19"/>
        <v>0</v>
      </c>
      <c r="P101" s="103">
        <f t="shared" si="20"/>
        <v>307.8</v>
      </c>
    </row>
    <row r="102" spans="1:16" s="56" customFormat="1" ht="15.05">
      <c r="A102" s="481">
        <v>41</v>
      </c>
      <c r="B102" s="482"/>
      <c r="C102" s="483" t="s">
        <v>1128</v>
      </c>
      <c r="D102" s="482" t="s">
        <v>1110</v>
      </c>
      <c r="E102" s="473">
        <v>32</v>
      </c>
      <c r="F102" s="462">
        <v>0.57999999999999996</v>
      </c>
      <c r="G102" s="463">
        <v>9.5</v>
      </c>
      <c r="H102" s="455">
        <f t="shared" si="14"/>
        <v>5.51</v>
      </c>
      <c r="I102" s="464">
        <v>22</v>
      </c>
      <c r="J102" s="464">
        <v>1</v>
      </c>
      <c r="K102" s="102">
        <f t="shared" si="15"/>
        <v>28.509999999999998</v>
      </c>
      <c r="L102" s="50">
        <f t="shared" si="16"/>
        <v>18.559999999999999</v>
      </c>
      <c r="M102" s="102">
        <f t="shared" si="17"/>
        <v>176.32</v>
      </c>
      <c r="N102" s="102">
        <f t="shared" si="18"/>
        <v>704</v>
      </c>
      <c r="O102" s="102">
        <f t="shared" si="19"/>
        <v>32</v>
      </c>
      <c r="P102" s="103">
        <f t="shared" si="20"/>
        <v>912.31999999999994</v>
      </c>
    </row>
    <row r="103" spans="1:16" s="56" customFormat="1" ht="15.05">
      <c r="A103" s="481">
        <v>42</v>
      </c>
      <c r="B103" s="482"/>
      <c r="C103" s="483" t="s">
        <v>1124</v>
      </c>
      <c r="D103" s="482" t="s">
        <v>884</v>
      </c>
      <c r="E103" s="473">
        <v>17.600000000000001</v>
      </c>
      <c r="F103" s="462">
        <v>3.98</v>
      </c>
      <c r="G103" s="463">
        <v>9.5</v>
      </c>
      <c r="H103" s="455">
        <f t="shared" si="14"/>
        <v>37.81</v>
      </c>
      <c r="I103" s="464">
        <v>0</v>
      </c>
      <c r="J103" s="464">
        <v>2.8</v>
      </c>
      <c r="K103" s="102">
        <f t="shared" si="15"/>
        <v>40.61</v>
      </c>
      <c r="L103" s="50">
        <f t="shared" si="16"/>
        <v>70.05</v>
      </c>
      <c r="M103" s="102">
        <f t="shared" si="17"/>
        <v>665.46</v>
      </c>
      <c r="N103" s="102">
        <f t="shared" si="18"/>
        <v>0</v>
      </c>
      <c r="O103" s="102">
        <f t="shared" si="19"/>
        <v>49.28</v>
      </c>
      <c r="P103" s="103">
        <f t="shared" si="20"/>
        <v>714.74</v>
      </c>
    </row>
    <row r="104" spans="1:16" s="56" customFormat="1" ht="15.05">
      <c r="A104" s="481">
        <v>0</v>
      </c>
      <c r="B104" s="482"/>
      <c r="C104" s="483" t="s">
        <v>1125</v>
      </c>
      <c r="D104" s="482" t="s">
        <v>884</v>
      </c>
      <c r="E104" s="473">
        <f>E103*1.05</f>
        <v>18.480000000000004</v>
      </c>
      <c r="F104" s="462"/>
      <c r="G104" s="463"/>
      <c r="H104" s="455">
        <f t="shared" si="14"/>
        <v>0</v>
      </c>
      <c r="I104" s="464">
        <v>73</v>
      </c>
      <c r="J104" s="464"/>
      <c r="K104" s="102">
        <f t="shared" si="15"/>
        <v>73</v>
      </c>
      <c r="L104" s="50">
        <f t="shared" si="16"/>
        <v>0</v>
      </c>
      <c r="M104" s="102">
        <f t="shared" si="17"/>
        <v>0</v>
      </c>
      <c r="N104" s="102">
        <f t="shared" si="18"/>
        <v>1349.04</v>
      </c>
      <c r="O104" s="102">
        <f t="shared" si="19"/>
        <v>0</v>
      </c>
      <c r="P104" s="103">
        <f t="shared" si="20"/>
        <v>1349.04</v>
      </c>
    </row>
    <row r="105" spans="1:16" s="56" customFormat="1" ht="15.05">
      <c r="A105" s="481">
        <v>0</v>
      </c>
      <c r="B105" s="482"/>
      <c r="C105" s="483" t="s">
        <v>1116</v>
      </c>
      <c r="D105" s="482" t="s">
        <v>1117</v>
      </c>
      <c r="E105" s="473">
        <f>E103*0.25</f>
        <v>4.4000000000000004</v>
      </c>
      <c r="F105" s="462"/>
      <c r="G105" s="463"/>
      <c r="H105" s="455">
        <f t="shared" si="14"/>
        <v>0</v>
      </c>
      <c r="I105" s="464">
        <v>0</v>
      </c>
      <c r="J105" s="464">
        <v>80</v>
      </c>
      <c r="K105" s="102">
        <f t="shared" si="15"/>
        <v>80</v>
      </c>
      <c r="L105" s="50">
        <f t="shared" si="16"/>
        <v>0</v>
      </c>
      <c r="M105" s="102">
        <f t="shared" si="17"/>
        <v>0</v>
      </c>
      <c r="N105" s="102">
        <f t="shared" si="18"/>
        <v>0</v>
      </c>
      <c r="O105" s="102">
        <f t="shared" si="19"/>
        <v>352</v>
      </c>
      <c r="P105" s="103">
        <f t="shared" si="20"/>
        <v>352</v>
      </c>
    </row>
    <row r="106" spans="1:16" s="56" customFormat="1" ht="15.05">
      <c r="A106" s="481">
        <v>43</v>
      </c>
      <c r="B106" s="482"/>
      <c r="C106" s="483" t="s">
        <v>1126</v>
      </c>
      <c r="D106" s="482" t="s">
        <v>29</v>
      </c>
      <c r="E106" s="473">
        <v>1.84</v>
      </c>
      <c r="F106" s="462">
        <v>0.26</v>
      </c>
      <c r="G106" s="463">
        <v>9.5</v>
      </c>
      <c r="H106" s="455">
        <f t="shared" si="14"/>
        <v>2.4700000000000002</v>
      </c>
      <c r="I106" s="464">
        <v>2.4</v>
      </c>
      <c r="J106" s="464">
        <v>0.1</v>
      </c>
      <c r="K106" s="102">
        <f t="shared" si="15"/>
        <v>4.97</v>
      </c>
      <c r="L106" s="50">
        <f t="shared" si="16"/>
        <v>0.48</v>
      </c>
      <c r="M106" s="102">
        <f t="shared" si="17"/>
        <v>4.54</v>
      </c>
      <c r="N106" s="102">
        <f t="shared" si="18"/>
        <v>4.42</v>
      </c>
      <c r="O106" s="102">
        <f t="shared" si="19"/>
        <v>0.18</v>
      </c>
      <c r="P106" s="103">
        <f t="shared" si="20"/>
        <v>9.14</v>
      </c>
    </row>
    <row r="107" spans="1:16" s="56" customFormat="1" ht="15.05">
      <c r="A107" s="470">
        <v>0</v>
      </c>
      <c r="B107" s="471"/>
      <c r="C107" s="479"/>
      <c r="D107" s="471"/>
      <c r="E107" s="473"/>
      <c r="F107" s="462"/>
      <c r="G107" s="463"/>
      <c r="H107" s="455">
        <f t="shared" si="14"/>
        <v>0</v>
      </c>
      <c r="I107" s="464"/>
      <c r="J107" s="464"/>
      <c r="K107" s="102">
        <f t="shared" si="15"/>
        <v>0</v>
      </c>
      <c r="L107" s="50">
        <f t="shared" si="16"/>
        <v>0</v>
      </c>
      <c r="M107" s="102">
        <f t="shared" si="17"/>
        <v>0</v>
      </c>
      <c r="N107" s="102">
        <f t="shared" si="18"/>
        <v>0</v>
      </c>
      <c r="O107" s="102">
        <f t="shared" si="19"/>
        <v>0</v>
      </c>
      <c r="P107" s="103">
        <f t="shared" si="20"/>
        <v>0</v>
      </c>
    </row>
    <row r="108" spans="1:16" s="56" customFormat="1" ht="15.05">
      <c r="A108" s="470">
        <v>0</v>
      </c>
      <c r="B108" s="471"/>
      <c r="C108" s="480" t="s">
        <v>1133</v>
      </c>
      <c r="D108" s="471"/>
      <c r="E108" s="473"/>
      <c r="F108" s="462"/>
      <c r="G108" s="463"/>
      <c r="H108" s="455">
        <f t="shared" si="14"/>
        <v>0</v>
      </c>
      <c r="I108" s="464"/>
      <c r="J108" s="464"/>
      <c r="K108" s="102">
        <f t="shared" si="15"/>
        <v>0</v>
      </c>
      <c r="L108" s="50">
        <f t="shared" si="16"/>
        <v>0</v>
      </c>
      <c r="M108" s="102">
        <f t="shared" si="17"/>
        <v>0</v>
      </c>
      <c r="N108" s="102">
        <f t="shared" si="18"/>
        <v>0</v>
      </c>
      <c r="O108" s="102">
        <f t="shared" si="19"/>
        <v>0</v>
      </c>
      <c r="P108" s="103">
        <f t="shared" si="20"/>
        <v>0</v>
      </c>
    </row>
    <row r="109" spans="1:16" s="56" customFormat="1" ht="15.05">
      <c r="A109" s="481">
        <v>44</v>
      </c>
      <c r="B109" s="482"/>
      <c r="C109" s="483" t="s">
        <v>1113</v>
      </c>
      <c r="D109" s="482" t="s">
        <v>884</v>
      </c>
      <c r="E109" s="473">
        <v>10.68</v>
      </c>
      <c r="F109" s="462">
        <v>1</v>
      </c>
      <c r="G109" s="463">
        <v>9.5</v>
      </c>
      <c r="H109" s="455">
        <f t="shared" si="14"/>
        <v>9.5</v>
      </c>
      <c r="I109" s="464">
        <v>22.8</v>
      </c>
      <c r="J109" s="464">
        <v>1.5</v>
      </c>
      <c r="K109" s="102">
        <f t="shared" si="15"/>
        <v>33.799999999999997</v>
      </c>
      <c r="L109" s="50">
        <f t="shared" si="16"/>
        <v>10.68</v>
      </c>
      <c r="M109" s="102">
        <f t="shared" si="17"/>
        <v>101.46</v>
      </c>
      <c r="N109" s="102">
        <f t="shared" si="18"/>
        <v>243.5</v>
      </c>
      <c r="O109" s="102">
        <f t="shared" si="19"/>
        <v>16.02</v>
      </c>
      <c r="P109" s="103">
        <f t="shared" si="20"/>
        <v>360.97999999999996</v>
      </c>
    </row>
    <row r="110" spans="1:16" s="56" customFormat="1" ht="15.05">
      <c r="A110" s="481">
        <v>45</v>
      </c>
      <c r="B110" s="482"/>
      <c r="C110" s="483" t="s">
        <v>1114</v>
      </c>
      <c r="D110" s="482" t="s">
        <v>884</v>
      </c>
      <c r="E110" s="473">
        <v>2.67</v>
      </c>
      <c r="F110" s="462">
        <v>3.32</v>
      </c>
      <c r="G110" s="463">
        <v>9.5</v>
      </c>
      <c r="H110" s="455">
        <f t="shared" si="14"/>
        <v>31.54</v>
      </c>
      <c r="I110" s="464"/>
      <c r="J110" s="464">
        <v>14</v>
      </c>
      <c r="K110" s="102">
        <f t="shared" si="15"/>
        <v>45.54</v>
      </c>
      <c r="L110" s="50">
        <f t="shared" si="16"/>
        <v>8.86</v>
      </c>
      <c r="M110" s="102">
        <f t="shared" si="17"/>
        <v>84.21</v>
      </c>
      <c r="N110" s="102">
        <f t="shared" si="18"/>
        <v>0</v>
      </c>
      <c r="O110" s="102">
        <f t="shared" si="19"/>
        <v>37.380000000000003</v>
      </c>
      <c r="P110" s="103">
        <f t="shared" si="20"/>
        <v>121.59</v>
      </c>
    </row>
    <row r="111" spans="1:16" s="56" customFormat="1" ht="15.05">
      <c r="A111" s="481">
        <v>0</v>
      </c>
      <c r="B111" s="482"/>
      <c r="C111" s="483" t="s">
        <v>1115</v>
      </c>
      <c r="D111" s="482" t="s">
        <v>884</v>
      </c>
      <c r="E111" s="473">
        <f>E110*1.05</f>
        <v>2.8035000000000001</v>
      </c>
      <c r="F111" s="462"/>
      <c r="G111" s="463"/>
      <c r="H111" s="455">
        <f t="shared" ref="H111:H131" si="21">ROUND(F111*G111,2)</f>
        <v>0</v>
      </c>
      <c r="I111" s="464">
        <v>54</v>
      </c>
      <c r="J111" s="464"/>
      <c r="K111" s="102">
        <f t="shared" si="15"/>
        <v>54</v>
      </c>
      <c r="L111" s="50">
        <f t="shared" si="16"/>
        <v>0</v>
      </c>
      <c r="M111" s="102">
        <f t="shared" si="17"/>
        <v>0</v>
      </c>
      <c r="N111" s="102">
        <f t="shared" si="18"/>
        <v>151.38999999999999</v>
      </c>
      <c r="O111" s="102">
        <f t="shared" si="19"/>
        <v>0</v>
      </c>
      <c r="P111" s="103">
        <f t="shared" si="20"/>
        <v>151.38999999999999</v>
      </c>
    </row>
    <row r="112" spans="1:16" s="56" customFormat="1" ht="15.05">
      <c r="A112" s="481">
        <v>0</v>
      </c>
      <c r="B112" s="482"/>
      <c r="C112" s="483" t="s">
        <v>1116</v>
      </c>
      <c r="D112" s="482" t="s">
        <v>1117</v>
      </c>
      <c r="E112" s="473">
        <f>E110*0.25</f>
        <v>0.66749999999999998</v>
      </c>
      <c r="F112" s="462"/>
      <c r="G112" s="463"/>
      <c r="H112" s="455">
        <f t="shared" si="21"/>
        <v>0</v>
      </c>
      <c r="I112" s="464">
        <v>0</v>
      </c>
      <c r="J112" s="464">
        <v>80</v>
      </c>
      <c r="K112" s="102">
        <f t="shared" si="15"/>
        <v>80</v>
      </c>
      <c r="L112" s="50">
        <f t="shared" si="16"/>
        <v>0</v>
      </c>
      <c r="M112" s="102">
        <f t="shared" si="17"/>
        <v>0</v>
      </c>
      <c r="N112" s="102">
        <f t="shared" si="18"/>
        <v>0</v>
      </c>
      <c r="O112" s="102">
        <f t="shared" si="19"/>
        <v>53.4</v>
      </c>
      <c r="P112" s="103">
        <f t="shared" si="20"/>
        <v>53.4</v>
      </c>
    </row>
    <row r="113" spans="1:16" s="56" customFormat="1" ht="30.15">
      <c r="A113" s="481">
        <v>46</v>
      </c>
      <c r="B113" s="482"/>
      <c r="C113" s="483" t="s">
        <v>1118</v>
      </c>
      <c r="D113" s="482" t="s">
        <v>29</v>
      </c>
      <c r="E113" s="473">
        <v>424</v>
      </c>
      <c r="F113" s="462">
        <v>0.65</v>
      </c>
      <c r="G113" s="463">
        <v>9.5</v>
      </c>
      <c r="H113" s="455">
        <f t="shared" si="21"/>
        <v>6.18</v>
      </c>
      <c r="I113" s="464">
        <v>0.68</v>
      </c>
      <c r="J113" s="464">
        <v>8.5</v>
      </c>
      <c r="K113" s="102">
        <f t="shared" si="15"/>
        <v>15.36</v>
      </c>
      <c r="L113" s="50">
        <f t="shared" si="16"/>
        <v>275.60000000000002</v>
      </c>
      <c r="M113" s="102">
        <f t="shared" si="17"/>
        <v>2620.3200000000002</v>
      </c>
      <c r="N113" s="102">
        <f t="shared" si="18"/>
        <v>288.32</v>
      </c>
      <c r="O113" s="102">
        <f t="shared" si="19"/>
        <v>3604</v>
      </c>
      <c r="P113" s="103">
        <f t="shared" si="20"/>
        <v>6512.64</v>
      </c>
    </row>
    <row r="114" spans="1:16" s="56" customFormat="1" ht="30.15">
      <c r="A114" s="481">
        <v>47</v>
      </c>
      <c r="B114" s="482"/>
      <c r="C114" s="483" t="s">
        <v>1119</v>
      </c>
      <c r="D114" s="482" t="s">
        <v>1120</v>
      </c>
      <c r="E114" s="473">
        <v>5.79</v>
      </c>
      <c r="F114" s="462">
        <v>28.42</v>
      </c>
      <c r="G114" s="463">
        <v>9.5</v>
      </c>
      <c r="H114" s="455">
        <f t="shared" si="21"/>
        <v>269.99</v>
      </c>
      <c r="I114" s="464">
        <v>0</v>
      </c>
      <c r="J114" s="464">
        <v>40</v>
      </c>
      <c r="K114" s="102">
        <f t="shared" si="15"/>
        <v>309.99</v>
      </c>
      <c r="L114" s="50">
        <f t="shared" si="16"/>
        <v>164.55</v>
      </c>
      <c r="M114" s="102">
        <f t="shared" si="17"/>
        <v>1563.24</v>
      </c>
      <c r="N114" s="102">
        <f t="shared" si="18"/>
        <v>0</v>
      </c>
      <c r="O114" s="102">
        <f t="shared" si="19"/>
        <v>231.6</v>
      </c>
      <c r="P114" s="103">
        <f t="shared" si="20"/>
        <v>1794.84</v>
      </c>
    </row>
    <row r="115" spans="1:16" s="56" customFormat="1" ht="15.05">
      <c r="A115" s="481">
        <v>0</v>
      </c>
      <c r="B115" s="482"/>
      <c r="C115" s="483" t="s">
        <v>1121</v>
      </c>
      <c r="D115" s="482" t="s">
        <v>1120</v>
      </c>
      <c r="E115" s="473">
        <f>E114*1.15</f>
        <v>6.6584999999999992</v>
      </c>
      <c r="F115" s="462"/>
      <c r="G115" s="463"/>
      <c r="H115" s="455">
        <f t="shared" si="21"/>
        <v>0</v>
      </c>
      <c r="I115" s="464">
        <v>640</v>
      </c>
      <c r="J115" s="464"/>
      <c r="K115" s="102">
        <f t="shared" si="15"/>
        <v>640</v>
      </c>
      <c r="L115" s="50">
        <f t="shared" si="16"/>
        <v>0</v>
      </c>
      <c r="M115" s="102">
        <f t="shared" si="17"/>
        <v>0</v>
      </c>
      <c r="N115" s="102">
        <f t="shared" si="18"/>
        <v>4261.4399999999996</v>
      </c>
      <c r="O115" s="102">
        <f t="shared" si="19"/>
        <v>0</v>
      </c>
      <c r="P115" s="103">
        <f t="shared" si="20"/>
        <v>4261.4399999999996</v>
      </c>
    </row>
    <row r="116" spans="1:16" s="56" customFormat="1" ht="30.15">
      <c r="A116" s="481">
        <v>0</v>
      </c>
      <c r="B116" s="482"/>
      <c r="C116" s="483" t="s">
        <v>1122</v>
      </c>
      <c r="D116" s="482" t="s">
        <v>136</v>
      </c>
      <c r="E116" s="473">
        <v>1</v>
      </c>
      <c r="F116" s="462"/>
      <c r="G116" s="463"/>
      <c r="H116" s="455">
        <f t="shared" si="21"/>
        <v>0</v>
      </c>
      <c r="I116" s="464">
        <f>90*E114</f>
        <v>521.1</v>
      </c>
      <c r="J116" s="464"/>
      <c r="K116" s="102">
        <f t="shared" si="15"/>
        <v>521.1</v>
      </c>
      <c r="L116" s="50">
        <f t="shared" si="16"/>
        <v>0</v>
      </c>
      <c r="M116" s="102">
        <f t="shared" si="17"/>
        <v>0</v>
      </c>
      <c r="N116" s="102">
        <f t="shared" si="18"/>
        <v>521.1</v>
      </c>
      <c r="O116" s="102">
        <f t="shared" si="19"/>
        <v>0</v>
      </c>
      <c r="P116" s="103">
        <f t="shared" si="20"/>
        <v>521.1</v>
      </c>
    </row>
    <row r="117" spans="1:16" s="56" customFormat="1" ht="15.05">
      <c r="A117" s="481">
        <v>48</v>
      </c>
      <c r="B117" s="482"/>
      <c r="C117" s="483" t="s">
        <v>1124</v>
      </c>
      <c r="D117" s="482" t="s">
        <v>884</v>
      </c>
      <c r="E117" s="473">
        <v>53.4</v>
      </c>
      <c r="F117" s="462">
        <v>3.98</v>
      </c>
      <c r="G117" s="463">
        <v>9.5</v>
      </c>
      <c r="H117" s="455">
        <f t="shared" si="21"/>
        <v>37.81</v>
      </c>
      <c r="I117" s="464">
        <v>0</v>
      </c>
      <c r="J117" s="464">
        <v>2.8</v>
      </c>
      <c r="K117" s="102">
        <f t="shared" si="15"/>
        <v>40.61</v>
      </c>
      <c r="L117" s="50">
        <f t="shared" si="16"/>
        <v>212.53</v>
      </c>
      <c r="M117" s="102">
        <f t="shared" si="17"/>
        <v>2019.05</v>
      </c>
      <c r="N117" s="102">
        <f t="shared" si="18"/>
        <v>0</v>
      </c>
      <c r="O117" s="102">
        <f t="shared" si="19"/>
        <v>149.52000000000001</v>
      </c>
      <c r="P117" s="103">
        <f t="shared" si="20"/>
        <v>2168.5700000000002</v>
      </c>
    </row>
    <row r="118" spans="1:16" s="56" customFormat="1" ht="15.05">
      <c r="A118" s="481">
        <v>0</v>
      </c>
      <c r="B118" s="482"/>
      <c r="C118" s="483" t="s">
        <v>1125</v>
      </c>
      <c r="D118" s="482" t="s">
        <v>884</v>
      </c>
      <c r="E118" s="473">
        <f>E117*1.05</f>
        <v>56.07</v>
      </c>
      <c r="F118" s="462"/>
      <c r="G118" s="463"/>
      <c r="H118" s="455">
        <f t="shared" si="21"/>
        <v>0</v>
      </c>
      <c r="I118" s="464">
        <v>73</v>
      </c>
      <c r="J118" s="464"/>
      <c r="K118" s="102">
        <f t="shared" si="15"/>
        <v>73</v>
      </c>
      <c r="L118" s="50">
        <f t="shared" si="16"/>
        <v>0</v>
      </c>
      <c r="M118" s="102">
        <f t="shared" si="17"/>
        <v>0</v>
      </c>
      <c r="N118" s="102">
        <f t="shared" si="18"/>
        <v>4093.11</v>
      </c>
      <c r="O118" s="102">
        <f t="shared" si="19"/>
        <v>0</v>
      </c>
      <c r="P118" s="103">
        <f t="shared" si="20"/>
        <v>4093.11</v>
      </c>
    </row>
    <row r="119" spans="1:16" s="56" customFormat="1" ht="15.05">
      <c r="A119" s="481">
        <v>0</v>
      </c>
      <c r="B119" s="482"/>
      <c r="C119" s="483" t="s">
        <v>1116</v>
      </c>
      <c r="D119" s="482" t="s">
        <v>1117</v>
      </c>
      <c r="E119" s="473">
        <f>E117*0.25</f>
        <v>13.35</v>
      </c>
      <c r="F119" s="462"/>
      <c r="G119" s="463"/>
      <c r="H119" s="455">
        <f t="shared" si="21"/>
        <v>0</v>
      </c>
      <c r="I119" s="464">
        <v>0</v>
      </c>
      <c r="J119" s="464">
        <v>80</v>
      </c>
      <c r="K119" s="102">
        <f t="shared" si="15"/>
        <v>80</v>
      </c>
      <c r="L119" s="50">
        <f t="shared" si="16"/>
        <v>0</v>
      </c>
      <c r="M119" s="102">
        <f t="shared" si="17"/>
        <v>0</v>
      </c>
      <c r="N119" s="102">
        <f t="shared" si="18"/>
        <v>0</v>
      </c>
      <c r="O119" s="102">
        <f t="shared" si="19"/>
        <v>1068</v>
      </c>
      <c r="P119" s="103">
        <f t="shared" si="20"/>
        <v>1068</v>
      </c>
    </row>
    <row r="120" spans="1:16" s="56" customFormat="1" ht="15.05">
      <c r="A120" s="481">
        <v>49</v>
      </c>
      <c r="B120" s="482"/>
      <c r="C120" s="483" t="s">
        <v>1126</v>
      </c>
      <c r="D120" s="482" t="s">
        <v>29</v>
      </c>
      <c r="E120" s="473">
        <v>26.7</v>
      </c>
      <c r="F120" s="462">
        <v>0.26</v>
      </c>
      <c r="G120" s="463">
        <v>9.5</v>
      </c>
      <c r="H120" s="455">
        <f t="shared" si="21"/>
        <v>2.4700000000000002</v>
      </c>
      <c r="I120" s="464">
        <v>2.4</v>
      </c>
      <c r="J120" s="464">
        <v>0.1</v>
      </c>
      <c r="K120" s="102">
        <f t="shared" si="15"/>
        <v>4.97</v>
      </c>
      <c r="L120" s="50">
        <f t="shared" si="16"/>
        <v>6.94</v>
      </c>
      <c r="M120" s="102">
        <f t="shared" si="17"/>
        <v>65.95</v>
      </c>
      <c r="N120" s="102">
        <f t="shared" si="18"/>
        <v>64.08</v>
      </c>
      <c r="O120" s="102">
        <f t="shared" si="19"/>
        <v>2.67</v>
      </c>
      <c r="P120" s="103">
        <f t="shared" si="20"/>
        <v>132.69999999999999</v>
      </c>
    </row>
    <row r="121" spans="1:16" s="56" customFormat="1" ht="15.05">
      <c r="A121" s="470">
        <v>0</v>
      </c>
      <c r="B121" s="471"/>
      <c r="C121" s="479"/>
      <c r="D121" s="471"/>
      <c r="E121" s="473"/>
      <c r="F121" s="462"/>
      <c r="G121" s="463"/>
      <c r="H121" s="455">
        <f t="shared" si="21"/>
        <v>0</v>
      </c>
      <c r="I121" s="464"/>
      <c r="J121" s="464"/>
      <c r="K121" s="102">
        <f t="shared" si="15"/>
        <v>0</v>
      </c>
      <c r="L121" s="50">
        <f t="shared" si="16"/>
        <v>0</v>
      </c>
      <c r="M121" s="102">
        <f t="shared" si="17"/>
        <v>0</v>
      </c>
      <c r="N121" s="102">
        <f t="shared" si="18"/>
        <v>0</v>
      </c>
      <c r="O121" s="102">
        <f t="shared" si="19"/>
        <v>0</v>
      </c>
      <c r="P121" s="103">
        <f t="shared" si="20"/>
        <v>0</v>
      </c>
    </row>
    <row r="122" spans="1:16" s="56" customFormat="1" ht="15.05">
      <c r="A122" s="470">
        <v>0</v>
      </c>
      <c r="B122" s="471"/>
      <c r="C122" s="472" t="s">
        <v>1134</v>
      </c>
      <c r="D122" s="471"/>
      <c r="E122" s="473"/>
      <c r="F122" s="462"/>
      <c r="G122" s="463"/>
      <c r="H122" s="455">
        <f t="shared" si="21"/>
        <v>0</v>
      </c>
      <c r="I122" s="464"/>
      <c r="J122" s="464"/>
      <c r="K122" s="102">
        <f t="shared" si="15"/>
        <v>0</v>
      </c>
      <c r="L122" s="50">
        <f t="shared" si="16"/>
        <v>0</v>
      </c>
      <c r="M122" s="102">
        <f t="shared" si="17"/>
        <v>0</v>
      </c>
      <c r="N122" s="102">
        <f t="shared" si="18"/>
        <v>0</v>
      </c>
      <c r="O122" s="102">
        <f t="shared" si="19"/>
        <v>0</v>
      </c>
      <c r="P122" s="103">
        <f t="shared" si="20"/>
        <v>0</v>
      </c>
    </row>
    <row r="123" spans="1:16" s="56" customFormat="1" ht="15.05">
      <c r="A123" s="481">
        <v>50</v>
      </c>
      <c r="B123" s="482"/>
      <c r="C123" s="483" t="s">
        <v>1113</v>
      </c>
      <c r="D123" s="482" t="s">
        <v>884</v>
      </c>
      <c r="E123" s="473">
        <v>6</v>
      </c>
      <c r="F123" s="462">
        <v>1</v>
      </c>
      <c r="G123" s="463">
        <v>9.5</v>
      </c>
      <c r="H123" s="455">
        <f t="shared" si="21"/>
        <v>9.5</v>
      </c>
      <c r="I123" s="464">
        <v>22.8</v>
      </c>
      <c r="J123" s="464">
        <v>1.5</v>
      </c>
      <c r="K123" s="102">
        <f t="shared" si="15"/>
        <v>33.799999999999997</v>
      </c>
      <c r="L123" s="50">
        <f t="shared" si="16"/>
        <v>6</v>
      </c>
      <c r="M123" s="102">
        <f t="shared" si="17"/>
        <v>57</v>
      </c>
      <c r="N123" s="102">
        <f t="shared" si="18"/>
        <v>136.80000000000001</v>
      </c>
      <c r="O123" s="102">
        <f t="shared" si="19"/>
        <v>9</v>
      </c>
      <c r="P123" s="103">
        <f t="shared" si="20"/>
        <v>202.8</v>
      </c>
    </row>
    <row r="124" spans="1:16" s="56" customFormat="1" ht="15.05">
      <c r="A124" s="481">
        <v>51</v>
      </c>
      <c r="B124" s="482"/>
      <c r="C124" s="483" t="s">
        <v>1114</v>
      </c>
      <c r="D124" s="482" t="s">
        <v>884</v>
      </c>
      <c r="E124" s="473">
        <v>3</v>
      </c>
      <c r="F124" s="462">
        <v>3.32</v>
      </c>
      <c r="G124" s="463">
        <v>9.5</v>
      </c>
      <c r="H124" s="455">
        <f t="shared" si="21"/>
        <v>31.54</v>
      </c>
      <c r="I124" s="464"/>
      <c r="J124" s="464">
        <v>14</v>
      </c>
      <c r="K124" s="102">
        <f t="shared" si="15"/>
        <v>45.54</v>
      </c>
      <c r="L124" s="50">
        <f t="shared" si="16"/>
        <v>9.9600000000000009</v>
      </c>
      <c r="M124" s="102">
        <f t="shared" si="17"/>
        <v>94.62</v>
      </c>
      <c r="N124" s="102">
        <f t="shared" si="18"/>
        <v>0</v>
      </c>
      <c r="O124" s="102">
        <f t="shared" si="19"/>
        <v>42</v>
      </c>
      <c r="P124" s="103">
        <f t="shared" si="20"/>
        <v>136.62</v>
      </c>
    </row>
    <row r="125" spans="1:16" s="56" customFormat="1" ht="15.05">
      <c r="A125" s="481">
        <v>0</v>
      </c>
      <c r="B125" s="482"/>
      <c r="C125" s="483" t="s">
        <v>1115</v>
      </c>
      <c r="D125" s="482" t="s">
        <v>884</v>
      </c>
      <c r="E125" s="473">
        <f>E124*1.05</f>
        <v>3.1500000000000004</v>
      </c>
      <c r="F125" s="462"/>
      <c r="G125" s="463"/>
      <c r="H125" s="455">
        <f t="shared" si="21"/>
        <v>0</v>
      </c>
      <c r="I125" s="464">
        <v>54</v>
      </c>
      <c r="J125" s="464"/>
      <c r="K125" s="102">
        <f t="shared" si="15"/>
        <v>54</v>
      </c>
      <c r="L125" s="50">
        <f t="shared" si="16"/>
        <v>0</v>
      </c>
      <c r="M125" s="102">
        <f t="shared" si="17"/>
        <v>0</v>
      </c>
      <c r="N125" s="102">
        <f t="shared" si="18"/>
        <v>170.1</v>
      </c>
      <c r="O125" s="102">
        <f t="shared" si="19"/>
        <v>0</v>
      </c>
      <c r="P125" s="103">
        <f t="shared" si="20"/>
        <v>170.1</v>
      </c>
    </row>
    <row r="126" spans="1:16" s="56" customFormat="1" ht="15.05">
      <c r="A126" s="481">
        <v>0</v>
      </c>
      <c r="B126" s="482"/>
      <c r="C126" s="483" t="s">
        <v>1116</v>
      </c>
      <c r="D126" s="482" t="s">
        <v>1117</v>
      </c>
      <c r="E126" s="473">
        <f>E124*0.25</f>
        <v>0.75</v>
      </c>
      <c r="F126" s="462"/>
      <c r="G126" s="463"/>
      <c r="H126" s="455">
        <f t="shared" si="21"/>
        <v>0</v>
      </c>
      <c r="I126" s="464">
        <v>0</v>
      </c>
      <c r="J126" s="464">
        <v>80</v>
      </c>
      <c r="K126" s="102">
        <f t="shared" si="15"/>
        <v>80</v>
      </c>
      <c r="L126" s="50">
        <f t="shared" si="16"/>
        <v>0</v>
      </c>
      <c r="M126" s="102">
        <f t="shared" si="17"/>
        <v>0</v>
      </c>
      <c r="N126" s="102">
        <f t="shared" si="18"/>
        <v>0</v>
      </c>
      <c r="O126" s="102">
        <f t="shared" si="19"/>
        <v>60</v>
      </c>
      <c r="P126" s="103">
        <f t="shared" si="20"/>
        <v>60</v>
      </c>
    </row>
    <row r="127" spans="1:16" s="56" customFormat="1" ht="30.15">
      <c r="A127" s="481">
        <v>52</v>
      </c>
      <c r="B127" s="482"/>
      <c r="C127" s="483" t="s">
        <v>1118</v>
      </c>
      <c r="D127" s="482" t="s">
        <v>29</v>
      </c>
      <c r="E127" s="473">
        <f>8*E131</f>
        <v>624</v>
      </c>
      <c r="F127" s="462">
        <v>0.65</v>
      </c>
      <c r="G127" s="463">
        <v>9.5</v>
      </c>
      <c r="H127" s="455">
        <f t="shared" si="21"/>
        <v>6.18</v>
      </c>
      <c r="I127" s="464">
        <v>0.68</v>
      </c>
      <c r="J127" s="464">
        <v>8.5</v>
      </c>
      <c r="K127" s="102">
        <f t="shared" si="15"/>
        <v>15.36</v>
      </c>
      <c r="L127" s="50">
        <f t="shared" si="16"/>
        <v>405.6</v>
      </c>
      <c r="M127" s="102">
        <f t="shared" si="17"/>
        <v>3856.32</v>
      </c>
      <c r="N127" s="102">
        <f t="shared" si="18"/>
        <v>424.32</v>
      </c>
      <c r="O127" s="102">
        <f t="shared" si="19"/>
        <v>5304</v>
      </c>
      <c r="P127" s="103">
        <f t="shared" si="20"/>
        <v>9584.64</v>
      </c>
    </row>
    <row r="128" spans="1:16" s="56" customFormat="1" ht="30.15">
      <c r="A128" s="481">
        <v>53</v>
      </c>
      <c r="B128" s="482"/>
      <c r="C128" s="483" t="s">
        <v>1119</v>
      </c>
      <c r="D128" s="482" t="s">
        <v>1120</v>
      </c>
      <c r="E128" s="473">
        <f>7.31</f>
        <v>7.31</v>
      </c>
      <c r="F128" s="462">
        <v>28.42</v>
      </c>
      <c r="G128" s="463">
        <v>9.5</v>
      </c>
      <c r="H128" s="455">
        <f t="shared" si="21"/>
        <v>269.99</v>
      </c>
      <c r="I128" s="464">
        <v>0</v>
      </c>
      <c r="J128" s="464">
        <v>40</v>
      </c>
      <c r="K128" s="102">
        <f t="shared" si="15"/>
        <v>309.99</v>
      </c>
      <c r="L128" s="50">
        <f t="shared" si="16"/>
        <v>207.75</v>
      </c>
      <c r="M128" s="102">
        <f t="shared" si="17"/>
        <v>1973.63</v>
      </c>
      <c r="N128" s="102">
        <f t="shared" si="18"/>
        <v>0</v>
      </c>
      <c r="O128" s="102">
        <f t="shared" si="19"/>
        <v>292.39999999999998</v>
      </c>
      <c r="P128" s="103">
        <f t="shared" si="20"/>
        <v>2266.0300000000002</v>
      </c>
    </row>
    <row r="129" spans="1:16" s="56" customFormat="1" ht="15.05">
      <c r="A129" s="481">
        <v>0</v>
      </c>
      <c r="B129" s="482"/>
      <c r="C129" s="483" t="s">
        <v>1121</v>
      </c>
      <c r="D129" s="482" t="s">
        <v>1120</v>
      </c>
      <c r="E129" s="473">
        <f>E128*1.15</f>
        <v>8.4064999999999994</v>
      </c>
      <c r="F129" s="462"/>
      <c r="G129" s="463"/>
      <c r="H129" s="455">
        <f t="shared" si="21"/>
        <v>0</v>
      </c>
      <c r="I129" s="464">
        <v>640</v>
      </c>
      <c r="J129" s="464"/>
      <c r="K129" s="102">
        <f t="shared" si="15"/>
        <v>640</v>
      </c>
      <c r="L129" s="50">
        <f t="shared" si="16"/>
        <v>0</v>
      </c>
      <c r="M129" s="102">
        <f t="shared" si="17"/>
        <v>0</v>
      </c>
      <c r="N129" s="102">
        <f t="shared" si="18"/>
        <v>5380.16</v>
      </c>
      <c r="O129" s="102">
        <f t="shared" si="19"/>
        <v>0</v>
      </c>
      <c r="P129" s="103">
        <f t="shared" si="20"/>
        <v>5380.16</v>
      </c>
    </row>
    <row r="130" spans="1:16" s="56" customFormat="1" ht="30.15">
      <c r="A130" s="481">
        <v>0</v>
      </c>
      <c r="B130" s="482"/>
      <c r="C130" s="483" t="s">
        <v>1122</v>
      </c>
      <c r="D130" s="482" t="s">
        <v>136</v>
      </c>
      <c r="E130" s="473">
        <v>1</v>
      </c>
      <c r="F130" s="462"/>
      <c r="G130" s="463"/>
      <c r="H130" s="455">
        <f t="shared" si="21"/>
        <v>0</v>
      </c>
      <c r="I130" s="464">
        <f>90*E128</f>
        <v>657.9</v>
      </c>
      <c r="J130" s="464"/>
      <c r="K130" s="102">
        <f t="shared" si="15"/>
        <v>657.9</v>
      </c>
      <c r="L130" s="50">
        <f t="shared" si="16"/>
        <v>0</v>
      </c>
      <c r="M130" s="102">
        <f t="shared" si="17"/>
        <v>0</v>
      </c>
      <c r="N130" s="102">
        <f t="shared" si="18"/>
        <v>657.9</v>
      </c>
      <c r="O130" s="102">
        <f t="shared" si="19"/>
        <v>0</v>
      </c>
      <c r="P130" s="103">
        <f t="shared" si="20"/>
        <v>657.9</v>
      </c>
    </row>
    <row r="131" spans="1:16" s="56" customFormat="1" ht="15.05">
      <c r="A131" s="481">
        <v>54</v>
      </c>
      <c r="B131" s="482"/>
      <c r="C131" s="483" t="s">
        <v>1135</v>
      </c>
      <c r="D131" s="482" t="s">
        <v>884</v>
      </c>
      <c r="E131" s="473">
        <v>78</v>
      </c>
      <c r="F131" s="462">
        <v>3.98</v>
      </c>
      <c r="G131" s="463">
        <v>9.5</v>
      </c>
      <c r="H131" s="455">
        <f t="shared" si="21"/>
        <v>37.81</v>
      </c>
      <c r="I131" s="464">
        <v>0</v>
      </c>
      <c r="J131" s="464">
        <v>2.8</v>
      </c>
      <c r="K131" s="102">
        <f t="shared" si="15"/>
        <v>40.61</v>
      </c>
      <c r="L131" s="50">
        <f t="shared" si="16"/>
        <v>310.44</v>
      </c>
      <c r="M131" s="102">
        <f t="shared" si="17"/>
        <v>2949.18</v>
      </c>
      <c r="N131" s="102">
        <f t="shared" si="18"/>
        <v>0</v>
      </c>
      <c r="O131" s="102">
        <f t="shared" si="19"/>
        <v>218.4</v>
      </c>
      <c r="P131" s="103">
        <f t="shared" si="20"/>
        <v>3167.58</v>
      </c>
    </row>
    <row r="132" spans="1:16" s="56" customFormat="1" ht="15.05">
      <c r="A132" s="481">
        <v>0</v>
      </c>
      <c r="B132" s="482"/>
      <c r="C132" s="483" t="s">
        <v>1125</v>
      </c>
      <c r="D132" s="482" t="s">
        <v>884</v>
      </c>
      <c r="E132" s="473">
        <f>E131*1.05</f>
        <v>81.900000000000006</v>
      </c>
      <c r="F132" s="462"/>
      <c r="G132" s="463"/>
      <c r="H132" s="455">
        <v>0</v>
      </c>
      <c r="I132" s="464">
        <v>73</v>
      </c>
      <c r="J132" s="464"/>
      <c r="K132" s="102">
        <f t="shared" si="15"/>
        <v>73</v>
      </c>
      <c r="L132" s="50">
        <f t="shared" si="16"/>
        <v>0</v>
      </c>
      <c r="M132" s="102">
        <f t="shared" si="17"/>
        <v>0</v>
      </c>
      <c r="N132" s="102">
        <f t="shared" si="18"/>
        <v>5978.7</v>
      </c>
      <c r="O132" s="102">
        <f t="shared" si="19"/>
        <v>0</v>
      </c>
      <c r="P132" s="103">
        <f t="shared" si="20"/>
        <v>5978.7</v>
      </c>
    </row>
    <row r="133" spans="1:16" s="56" customFormat="1" ht="15.05">
      <c r="A133" s="481">
        <v>0</v>
      </c>
      <c r="B133" s="482"/>
      <c r="C133" s="483" t="s">
        <v>1116</v>
      </c>
      <c r="D133" s="482" t="s">
        <v>1117</v>
      </c>
      <c r="E133" s="473">
        <f>E131*0.25</f>
        <v>19.5</v>
      </c>
      <c r="F133" s="462"/>
      <c r="G133" s="463"/>
      <c r="H133" s="455">
        <v>0</v>
      </c>
      <c r="I133" s="464">
        <v>0</v>
      </c>
      <c r="J133" s="464">
        <v>80</v>
      </c>
      <c r="K133" s="102">
        <f t="shared" si="15"/>
        <v>80</v>
      </c>
      <c r="L133" s="50">
        <f t="shared" si="16"/>
        <v>0</v>
      </c>
      <c r="M133" s="102">
        <f t="shared" si="17"/>
        <v>0</v>
      </c>
      <c r="N133" s="102">
        <f t="shared" si="18"/>
        <v>0</v>
      </c>
      <c r="O133" s="102">
        <f t="shared" si="19"/>
        <v>1560</v>
      </c>
      <c r="P133" s="103">
        <f t="shared" si="20"/>
        <v>1560</v>
      </c>
    </row>
    <row r="134" spans="1:16" s="56" customFormat="1" ht="15.05">
      <c r="A134" s="470">
        <v>0</v>
      </c>
      <c r="B134" s="471"/>
      <c r="C134" s="472" t="s">
        <v>1462</v>
      </c>
      <c r="D134" s="471"/>
      <c r="E134" s="473"/>
      <c r="F134" s="462"/>
      <c r="G134" s="463"/>
      <c r="H134" s="455">
        <f t="shared" ref="H134:H140" si="22">ROUND(F134*G134,2)</f>
        <v>0</v>
      </c>
      <c r="I134" s="464"/>
      <c r="J134" s="464"/>
      <c r="K134" s="102">
        <f t="shared" ref="K134:K142" si="23">SUM(H134:J134)</f>
        <v>0</v>
      </c>
      <c r="L134" s="50">
        <f t="shared" ref="L134:L142" si="24">ROUND(F134*E134,2)</f>
        <v>0</v>
      </c>
      <c r="M134" s="102">
        <f t="shared" ref="M134:M142" si="25">ROUND(H134*E134,2)</f>
        <v>0</v>
      </c>
      <c r="N134" s="102">
        <f t="shared" ref="N134:N142" si="26">ROUND(I134*E134,2)</f>
        <v>0</v>
      </c>
      <c r="O134" s="102">
        <f t="shared" ref="O134:O142" si="27">ROUND(J134*E134,2)</f>
        <v>0</v>
      </c>
      <c r="P134" s="103">
        <f t="shared" ref="P134:P142" si="28">SUM(M134:O134)</f>
        <v>0</v>
      </c>
    </row>
    <row r="135" spans="1:16" s="56" customFormat="1" ht="15.05">
      <c r="A135" s="481">
        <v>55</v>
      </c>
      <c r="B135" s="482"/>
      <c r="C135" s="483" t="s">
        <v>1463</v>
      </c>
      <c r="D135" s="482" t="s">
        <v>884</v>
      </c>
      <c r="E135" s="473">
        <f>0.55*8</f>
        <v>4.4000000000000004</v>
      </c>
      <c r="F135" s="462">
        <v>1</v>
      </c>
      <c r="G135" s="463">
        <v>9.5</v>
      </c>
      <c r="H135" s="455">
        <f t="shared" si="22"/>
        <v>9.5</v>
      </c>
      <c r="I135" s="464">
        <v>22.8</v>
      </c>
      <c r="J135" s="464">
        <v>1.5</v>
      </c>
      <c r="K135" s="102">
        <f t="shared" si="23"/>
        <v>33.799999999999997</v>
      </c>
      <c r="L135" s="50">
        <f t="shared" si="24"/>
        <v>4.4000000000000004</v>
      </c>
      <c r="M135" s="102">
        <f t="shared" si="25"/>
        <v>41.8</v>
      </c>
      <c r="N135" s="102">
        <f t="shared" si="26"/>
        <v>100.32</v>
      </c>
      <c r="O135" s="102">
        <f t="shared" si="27"/>
        <v>6.6</v>
      </c>
      <c r="P135" s="103">
        <f t="shared" si="28"/>
        <v>148.72</v>
      </c>
    </row>
    <row r="136" spans="1:16" s="56" customFormat="1" ht="30.15">
      <c r="A136" s="481">
        <v>56</v>
      </c>
      <c r="B136" s="482"/>
      <c r="C136" s="483" t="s">
        <v>1118</v>
      </c>
      <c r="D136" s="482" t="s">
        <v>29</v>
      </c>
      <c r="E136" s="473">
        <v>64</v>
      </c>
      <c r="F136" s="462">
        <v>0.65</v>
      </c>
      <c r="G136" s="463">
        <v>9.5</v>
      </c>
      <c r="H136" s="455">
        <f t="shared" si="22"/>
        <v>6.18</v>
      </c>
      <c r="I136" s="464">
        <v>0.68</v>
      </c>
      <c r="J136" s="464">
        <v>8.5</v>
      </c>
      <c r="K136" s="102">
        <f t="shared" si="23"/>
        <v>15.36</v>
      </c>
      <c r="L136" s="50">
        <f t="shared" si="24"/>
        <v>41.6</v>
      </c>
      <c r="M136" s="102">
        <f t="shared" si="25"/>
        <v>395.52</v>
      </c>
      <c r="N136" s="102">
        <f t="shared" si="26"/>
        <v>43.52</v>
      </c>
      <c r="O136" s="102">
        <f t="shared" si="27"/>
        <v>544</v>
      </c>
      <c r="P136" s="103">
        <f t="shared" si="28"/>
        <v>983.04</v>
      </c>
    </row>
    <row r="137" spans="1:16" s="56" customFormat="1" ht="30.15">
      <c r="A137" s="481">
        <v>57</v>
      </c>
      <c r="B137" s="482"/>
      <c r="C137" s="483" t="s">
        <v>1119</v>
      </c>
      <c r="D137" s="482" t="s">
        <v>1120</v>
      </c>
      <c r="E137" s="473">
        <f>0.083*8</f>
        <v>0.66400000000000003</v>
      </c>
      <c r="F137" s="462">
        <v>28.42</v>
      </c>
      <c r="G137" s="463">
        <v>9.5</v>
      </c>
      <c r="H137" s="455">
        <f t="shared" si="22"/>
        <v>269.99</v>
      </c>
      <c r="I137" s="464">
        <v>0</v>
      </c>
      <c r="J137" s="464">
        <v>40</v>
      </c>
      <c r="K137" s="102">
        <f t="shared" si="23"/>
        <v>309.99</v>
      </c>
      <c r="L137" s="50">
        <f t="shared" si="24"/>
        <v>18.87</v>
      </c>
      <c r="M137" s="102">
        <f t="shared" si="25"/>
        <v>179.27</v>
      </c>
      <c r="N137" s="102">
        <f t="shared" si="26"/>
        <v>0</v>
      </c>
      <c r="O137" s="102">
        <f t="shared" si="27"/>
        <v>26.56</v>
      </c>
      <c r="P137" s="103">
        <f t="shared" si="28"/>
        <v>205.83</v>
      </c>
    </row>
    <row r="138" spans="1:16" s="56" customFormat="1" ht="15.05">
      <c r="A138" s="481">
        <v>0</v>
      </c>
      <c r="B138" s="482"/>
      <c r="C138" s="483" t="s">
        <v>1121</v>
      </c>
      <c r="D138" s="482" t="s">
        <v>1120</v>
      </c>
      <c r="E138" s="473">
        <f>E137*1.15</f>
        <v>0.76359999999999995</v>
      </c>
      <c r="F138" s="462"/>
      <c r="G138" s="463"/>
      <c r="H138" s="455">
        <f t="shared" si="22"/>
        <v>0</v>
      </c>
      <c r="I138" s="464">
        <v>640</v>
      </c>
      <c r="J138" s="464"/>
      <c r="K138" s="102">
        <f t="shared" si="23"/>
        <v>640</v>
      </c>
      <c r="L138" s="50">
        <f t="shared" si="24"/>
        <v>0</v>
      </c>
      <c r="M138" s="102">
        <f t="shared" si="25"/>
        <v>0</v>
      </c>
      <c r="N138" s="102">
        <f t="shared" si="26"/>
        <v>488.7</v>
      </c>
      <c r="O138" s="102">
        <f t="shared" si="27"/>
        <v>0</v>
      </c>
      <c r="P138" s="103">
        <f t="shared" si="28"/>
        <v>488.7</v>
      </c>
    </row>
    <row r="139" spans="1:16" s="56" customFormat="1" ht="30.15">
      <c r="A139" s="481">
        <v>0</v>
      </c>
      <c r="B139" s="482"/>
      <c r="C139" s="483" t="s">
        <v>1122</v>
      </c>
      <c r="D139" s="482" t="s">
        <v>136</v>
      </c>
      <c r="E139" s="473">
        <v>1</v>
      </c>
      <c r="F139" s="462"/>
      <c r="G139" s="463"/>
      <c r="H139" s="455">
        <f t="shared" si="22"/>
        <v>0</v>
      </c>
      <c r="I139" s="464">
        <f>90*E137</f>
        <v>59.760000000000005</v>
      </c>
      <c r="J139" s="464"/>
      <c r="K139" s="102">
        <f t="shared" si="23"/>
        <v>59.760000000000005</v>
      </c>
      <c r="L139" s="50">
        <f t="shared" si="24"/>
        <v>0</v>
      </c>
      <c r="M139" s="102">
        <f t="shared" si="25"/>
        <v>0</v>
      </c>
      <c r="N139" s="102">
        <f t="shared" si="26"/>
        <v>59.76</v>
      </c>
      <c r="O139" s="102">
        <f t="shared" si="27"/>
        <v>0</v>
      </c>
      <c r="P139" s="103">
        <f t="shared" si="28"/>
        <v>59.76</v>
      </c>
    </row>
    <row r="140" spans="1:16" s="56" customFormat="1" ht="15.05">
      <c r="A140" s="481">
        <v>58</v>
      </c>
      <c r="B140" s="482"/>
      <c r="C140" s="483" t="s">
        <v>1124</v>
      </c>
      <c r="D140" s="482" t="s">
        <v>884</v>
      </c>
      <c r="E140" s="473">
        <f>0.007*8</f>
        <v>5.6000000000000001E-2</v>
      </c>
      <c r="F140" s="462">
        <v>3.98</v>
      </c>
      <c r="G140" s="463">
        <v>9.5</v>
      </c>
      <c r="H140" s="455">
        <f t="shared" si="22"/>
        <v>37.81</v>
      </c>
      <c r="I140" s="464">
        <v>0</v>
      </c>
      <c r="J140" s="464">
        <v>2.8</v>
      </c>
      <c r="K140" s="102">
        <f t="shared" si="23"/>
        <v>40.61</v>
      </c>
      <c r="L140" s="50">
        <f t="shared" si="24"/>
        <v>0.22</v>
      </c>
      <c r="M140" s="102">
        <f t="shared" si="25"/>
        <v>2.12</v>
      </c>
      <c r="N140" s="102">
        <f t="shared" si="26"/>
        <v>0</v>
      </c>
      <c r="O140" s="102">
        <f t="shared" si="27"/>
        <v>0.16</v>
      </c>
      <c r="P140" s="103">
        <f t="shared" si="28"/>
        <v>2.2800000000000002</v>
      </c>
    </row>
    <row r="141" spans="1:16" s="56" customFormat="1" ht="15.05">
      <c r="A141" s="481">
        <v>0</v>
      </c>
      <c r="B141" s="482"/>
      <c r="C141" s="483" t="s">
        <v>1125</v>
      </c>
      <c r="D141" s="482" t="s">
        <v>884</v>
      </c>
      <c r="E141" s="473">
        <f>E140*1.05</f>
        <v>5.8800000000000005E-2</v>
      </c>
      <c r="F141" s="462"/>
      <c r="G141" s="463"/>
      <c r="H141" s="455">
        <v>0</v>
      </c>
      <c r="I141" s="464">
        <v>73</v>
      </c>
      <c r="J141" s="464"/>
      <c r="K141" s="102">
        <f t="shared" si="23"/>
        <v>73</v>
      </c>
      <c r="L141" s="50">
        <f t="shared" si="24"/>
        <v>0</v>
      </c>
      <c r="M141" s="102">
        <f t="shared" si="25"/>
        <v>0</v>
      </c>
      <c r="N141" s="102">
        <f t="shared" si="26"/>
        <v>4.29</v>
      </c>
      <c r="O141" s="102">
        <f t="shared" si="27"/>
        <v>0</v>
      </c>
      <c r="P141" s="103">
        <f t="shared" si="28"/>
        <v>4.29</v>
      </c>
    </row>
    <row r="142" spans="1:16" s="56" customFormat="1" ht="15.05">
      <c r="A142" s="481">
        <v>0</v>
      </c>
      <c r="B142" s="482"/>
      <c r="C142" s="483" t="s">
        <v>1116</v>
      </c>
      <c r="D142" s="482" t="s">
        <v>1117</v>
      </c>
      <c r="E142" s="473">
        <f>E140*0.25</f>
        <v>1.4E-2</v>
      </c>
      <c r="F142" s="462"/>
      <c r="G142" s="463"/>
      <c r="H142" s="455">
        <v>0</v>
      </c>
      <c r="I142" s="464">
        <v>0</v>
      </c>
      <c r="J142" s="464">
        <v>80</v>
      </c>
      <c r="K142" s="102">
        <f t="shared" si="23"/>
        <v>80</v>
      </c>
      <c r="L142" s="50">
        <f t="shared" si="24"/>
        <v>0</v>
      </c>
      <c r="M142" s="102">
        <f t="shared" si="25"/>
        <v>0</v>
      </c>
      <c r="N142" s="102">
        <f t="shared" si="26"/>
        <v>0</v>
      </c>
      <c r="O142" s="102">
        <f t="shared" si="27"/>
        <v>1.1200000000000001</v>
      </c>
      <c r="P142" s="103">
        <f t="shared" si="28"/>
        <v>1.1200000000000001</v>
      </c>
    </row>
    <row r="143" spans="1:16" s="56" customFormat="1" ht="15.05">
      <c r="A143" s="481">
        <v>59</v>
      </c>
      <c r="B143" s="482"/>
      <c r="C143" s="483" t="s">
        <v>1124</v>
      </c>
      <c r="D143" s="482" t="s">
        <v>884</v>
      </c>
      <c r="E143" s="473">
        <f>0.95*8</f>
        <v>7.6</v>
      </c>
      <c r="F143" s="462">
        <v>3.98</v>
      </c>
      <c r="G143" s="463">
        <v>9.5</v>
      </c>
      <c r="H143" s="455">
        <f>ROUND(F143*G143,2)</f>
        <v>37.81</v>
      </c>
      <c r="I143" s="464">
        <v>0</v>
      </c>
      <c r="J143" s="464">
        <v>2.8</v>
      </c>
      <c r="K143" s="102">
        <f t="shared" ref="K143:K203" si="29">SUM(H143:J143)</f>
        <v>40.61</v>
      </c>
      <c r="L143" s="50">
        <f t="shared" ref="L143:L203" si="30">ROUND(F143*E143,2)</f>
        <v>30.25</v>
      </c>
      <c r="M143" s="102">
        <f t="shared" ref="M143:M203" si="31">ROUND(H143*E143,2)</f>
        <v>287.36</v>
      </c>
      <c r="N143" s="102">
        <f t="shared" ref="N143:N203" si="32">ROUND(I143*E143,2)</f>
        <v>0</v>
      </c>
      <c r="O143" s="102">
        <f t="shared" ref="O143:O203" si="33">ROUND(J143*E143,2)</f>
        <v>21.28</v>
      </c>
      <c r="P143" s="103">
        <f t="shared" ref="P143:P203" si="34">SUM(M143:O143)</f>
        <v>308.64</v>
      </c>
    </row>
    <row r="144" spans="1:16" s="56" customFormat="1" ht="15.05">
      <c r="A144" s="481">
        <v>0</v>
      </c>
      <c r="B144" s="482"/>
      <c r="C144" s="483" t="s">
        <v>1464</v>
      </c>
      <c r="D144" s="482" t="s">
        <v>884</v>
      </c>
      <c r="E144" s="473">
        <f>E143*1.05</f>
        <v>7.9799999999999995</v>
      </c>
      <c r="F144" s="462"/>
      <c r="G144" s="463"/>
      <c r="H144" s="455">
        <v>0</v>
      </c>
      <c r="I144" s="464">
        <v>71</v>
      </c>
      <c r="J144" s="464"/>
      <c r="K144" s="102">
        <f t="shared" si="29"/>
        <v>71</v>
      </c>
      <c r="L144" s="50">
        <f t="shared" si="30"/>
        <v>0</v>
      </c>
      <c r="M144" s="102">
        <f t="shared" si="31"/>
        <v>0</v>
      </c>
      <c r="N144" s="102">
        <f t="shared" si="32"/>
        <v>566.58000000000004</v>
      </c>
      <c r="O144" s="102">
        <f t="shared" si="33"/>
        <v>0</v>
      </c>
      <c r="P144" s="103">
        <f t="shared" si="34"/>
        <v>566.58000000000004</v>
      </c>
    </row>
    <row r="145" spans="1:16" s="56" customFormat="1" ht="15.05">
      <c r="A145" s="481">
        <v>0</v>
      </c>
      <c r="B145" s="482"/>
      <c r="C145" s="483" t="s">
        <v>1116</v>
      </c>
      <c r="D145" s="482" t="s">
        <v>1117</v>
      </c>
      <c r="E145" s="473">
        <f>E143*0.25</f>
        <v>1.9</v>
      </c>
      <c r="F145" s="462"/>
      <c r="G145" s="463"/>
      <c r="H145" s="455">
        <v>0</v>
      </c>
      <c r="I145" s="464">
        <v>0</v>
      </c>
      <c r="J145" s="464">
        <v>80</v>
      </c>
      <c r="K145" s="102">
        <f t="shared" si="29"/>
        <v>80</v>
      </c>
      <c r="L145" s="50">
        <f t="shared" si="30"/>
        <v>0</v>
      </c>
      <c r="M145" s="102">
        <f t="shared" si="31"/>
        <v>0</v>
      </c>
      <c r="N145" s="102">
        <f t="shared" si="32"/>
        <v>0</v>
      </c>
      <c r="O145" s="102">
        <f t="shared" si="33"/>
        <v>152</v>
      </c>
      <c r="P145" s="103">
        <f t="shared" si="34"/>
        <v>152</v>
      </c>
    </row>
    <row r="146" spans="1:16" s="56" customFormat="1" ht="15.05">
      <c r="A146" s="809">
        <v>60</v>
      </c>
      <c r="B146" s="473"/>
      <c r="C146" s="810" t="s">
        <v>1126</v>
      </c>
      <c r="D146" s="473" t="s">
        <v>29</v>
      </c>
      <c r="E146" s="473">
        <v>1.1200000000000001</v>
      </c>
      <c r="F146" s="462">
        <v>0.26</v>
      </c>
      <c r="G146" s="463">
        <v>9.5</v>
      </c>
      <c r="H146" s="455">
        <f t="shared" ref="H146:H147" si="35">ROUND(F146*G146,2)</f>
        <v>2.4700000000000002</v>
      </c>
      <c r="I146" s="464">
        <v>2.4</v>
      </c>
      <c r="J146" s="464">
        <v>0.1</v>
      </c>
      <c r="K146" s="102">
        <f t="shared" si="29"/>
        <v>4.97</v>
      </c>
      <c r="L146" s="50">
        <f t="shared" si="30"/>
        <v>0.28999999999999998</v>
      </c>
      <c r="M146" s="102">
        <f t="shared" si="31"/>
        <v>2.77</v>
      </c>
      <c r="N146" s="102">
        <f t="shared" si="32"/>
        <v>2.69</v>
      </c>
      <c r="O146" s="102">
        <f t="shared" si="33"/>
        <v>0.11</v>
      </c>
      <c r="P146" s="103">
        <f t="shared" si="34"/>
        <v>5.57</v>
      </c>
    </row>
    <row r="147" spans="1:16" s="400" customFormat="1" ht="15.05">
      <c r="A147" s="809">
        <v>61</v>
      </c>
      <c r="B147" s="473"/>
      <c r="C147" s="811" t="s">
        <v>1473</v>
      </c>
      <c r="D147" s="473" t="s">
        <v>1110</v>
      </c>
      <c r="E147" s="473">
        <v>32</v>
      </c>
      <c r="F147" s="462">
        <v>0.57999999999999996</v>
      </c>
      <c r="G147" s="463">
        <v>9.5</v>
      </c>
      <c r="H147" s="455">
        <f t="shared" si="35"/>
        <v>5.51</v>
      </c>
      <c r="I147" s="464">
        <v>16</v>
      </c>
      <c r="J147" s="464">
        <v>1</v>
      </c>
      <c r="K147" s="102">
        <f t="shared" si="29"/>
        <v>22.509999999999998</v>
      </c>
      <c r="L147" s="50">
        <f t="shared" si="30"/>
        <v>18.559999999999999</v>
      </c>
      <c r="M147" s="102">
        <f t="shared" si="31"/>
        <v>176.32</v>
      </c>
      <c r="N147" s="102">
        <f t="shared" si="32"/>
        <v>512</v>
      </c>
      <c r="O147" s="102">
        <f t="shared" si="33"/>
        <v>32</v>
      </c>
      <c r="P147" s="103">
        <f t="shared" si="34"/>
        <v>720.31999999999994</v>
      </c>
    </row>
    <row r="148" spans="1:16" s="400" customFormat="1" ht="15.05">
      <c r="A148" s="470">
        <v>0</v>
      </c>
      <c r="B148" s="471"/>
      <c r="C148" s="480" t="s">
        <v>1477</v>
      </c>
      <c r="D148" s="471"/>
      <c r="E148" s="473"/>
      <c r="F148" s="462"/>
      <c r="G148" s="463"/>
      <c r="H148" s="455">
        <f t="shared" ref="H148:H161" si="36">ROUND(F148*G148,2)</f>
        <v>0</v>
      </c>
      <c r="I148" s="464"/>
      <c r="J148" s="464"/>
      <c r="K148" s="102">
        <f t="shared" ref="K148:K161" si="37">SUM(H148:J148)</f>
        <v>0</v>
      </c>
      <c r="L148" s="50">
        <f t="shared" ref="L148:L161" si="38">ROUND(F148*E148,2)</f>
        <v>0</v>
      </c>
      <c r="M148" s="102">
        <f t="shared" ref="M148:M161" si="39">ROUND(H148*E148,2)</f>
        <v>0</v>
      </c>
      <c r="N148" s="102">
        <f t="shared" ref="N148:N161" si="40">ROUND(I148*E148,2)</f>
        <v>0</v>
      </c>
      <c r="O148" s="102">
        <f t="shared" ref="O148:O161" si="41">ROUND(J148*E148,2)</f>
        <v>0</v>
      </c>
      <c r="P148" s="103">
        <f t="shared" ref="P148:P161" si="42">SUM(M148:O148)</f>
        <v>0</v>
      </c>
    </row>
    <row r="149" spans="1:16" s="400" customFormat="1" ht="15.05">
      <c r="A149" s="481">
        <v>62</v>
      </c>
      <c r="B149" s="482"/>
      <c r="C149" s="631" t="s">
        <v>1471</v>
      </c>
      <c r="D149" s="482" t="s">
        <v>884</v>
      </c>
      <c r="E149" s="473">
        <v>9.8000000000000004E-2</v>
      </c>
      <c r="F149" s="462">
        <v>1</v>
      </c>
      <c r="G149" s="463">
        <v>9.5</v>
      </c>
      <c r="H149" s="455">
        <f t="shared" si="36"/>
        <v>9.5</v>
      </c>
      <c r="I149" s="464">
        <v>22.8</v>
      </c>
      <c r="J149" s="464">
        <v>1.5</v>
      </c>
      <c r="K149" s="102">
        <f t="shared" si="37"/>
        <v>33.799999999999997</v>
      </c>
      <c r="L149" s="50">
        <f t="shared" si="38"/>
        <v>0.1</v>
      </c>
      <c r="M149" s="102">
        <f t="shared" si="39"/>
        <v>0.93</v>
      </c>
      <c r="N149" s="102">
        <f t="shared" si="40"/>
        <v>2.23</v>
      </c>
      <c r="O149" s="102">
        <f t="shared" si="41"/>
        <v>0.15</v>
      </c>
      <c r="P149" s="103">
        <f t="shared" si="42"/>
        <v>3.31</v>
      </c>
    </row>
    <row r="150" spans="1:16" s="400" customFormat="1" ht="30.15">
      <c r="A150" s="481">
        <v>63</v>
      </c>
      <c r="B150" s="482"/>
      <c r="C150" s="483" t="s">
        <v>1118</v>
      </c>
      <c r="D150" s="482" t="s">
        <v>29</v>
      </c>
      <c r="E150" s="473">
        <v>4</v>
      </c>
      <c r="F150" s="462">
        <v>0.65</v>
      </c>
      <c r="G150" s="463">
        <v>9.5</v>
      </c>
      <c r="H150" s="455">
        <f t="shared" si="36"/>
        <v>6.18</v>
      </c>
      <c r="I150" s="464">
        <v>0.68</v>
      </c>
      <c r="J150" s="464">
        <v>8.5</v>
      </c>
      <c r="K150" s="102">
        <f t="shared" si="37"/>
        <v>15.36</v>
      </c>
      <c r="L150" s="50">
        <f t="shared" si="38"/>
        <v>2.6</v>
      </c>
      <c r="M150" s="102">
        <f t="shared" si="39"/>
        <v>24.72</v>
      </c>
      <c r="N150" s="102">
        <f t="shared" si="40"/>
        <v>2.72</v>
      </c>
      <c r="O150" s="102">
        <f t="shared" si="41"/>
        <v>34</v>
      </c>
      <c r="P150" s="103">
        <f t="shared" si="42"/>
        <v>61.44</v>
      </c>
    </row>
    <row r="151" spans="1:16" s="400" customFormat="1" ht="30.15">
      <c r="A151" s="481">
        <v>64</v>
      </c>
      <c r="B151" s="482"/>
      <c r="C151" s="483" t="s">
        <v>1119</v>
      </c>
      <c r="D151" s="482" t="s">
        <v>1120</v>
      </c>
      <c r="E151" s="473">
        <v>6.0000000000000001E-3</v>
      </c>
      <c r="F151" s="462">
        <v>28.42</v>
      </c>
      <c r="G151" s="463">
        <v>9.5</v>
      </c>
      <c r="H151" s="455">
        <f t="shared" si="36"/>
        <v>269.99</v>
      </c>
      <c r="I151" s="464">
        <v>0</v>
      </c>
      <c r="J151" s="464">
        <v>40</v>
      </c>
      <c r="K151" s="102">
        <f t="shared" si="37"/>
        <v>309.99</v>
      </c>
      <c r="L151" s="50">
        <f t="shared" si="38"/>
        <v>0.17</v>
      </c>
      <c r="M151" s="102">
        <f t="shared" si="39"/>
        <v>1.62</v>
      </c>
      <c r="N151" s="102">
        <f t="shared" si="40"/>
        <v>0</v>
      </c>
      <c r="O151" s="102">
        <f t="shared" si="41"/>
        <v>0.24</v>
      </c>
      <c r="P151" s="103">
        <f t="shared" si="42"/>
        <v>1.86</v>
      </c>
    </row>
    <row r="152" spans="1:16" s="400" customFormat="1" ht="15.05">
      <c r="A152" s="481">
        <v>0</v>
      </c>
      <c r="B152" s="482"/>
      <c r="C152" s="483" t="s">
        <v>1121</v>
      </c>
      <c r="D152" s="482" t="s">
        <v>1120</v>
      </c>
      <c r="E152" s="473">
        <f>E151*1.15</f>
        <v>6.8999999999999999E-3</v>
      </c>
      <c r="F152" s="462"/>
      <c r="G152" s="463"/>
      <c r="H152" s="455">
        <f t="shared" si="36"/>
        <v>0</v>
      </c>
      <c r="I152" s="464">
        <v>640</v>
      </c>
      <c r="J152" s="464"/>
      <c r="K152" s="102">
        <f t="shared" si="37"/>
        <v>640</v>
      </c>
      <c r="L152" s="50">
        <f t="shared" si="38"/>
        <v>0</v>
      </c>
      <c r="M152" s="102">
        <f t="shared" si="39"/>
        <v>0</v>
      </c>
      <c r="N152" s="102">
        <f t="shared" si="40"/>
        <v>4.42</v>
      </c>
      <c r="O152" s="102">
        <f t="shared" si="41"/>
        <v>0</v>
      </c>
      <c r="P152" s="103">
        <f t="shared" si="42"/>
        <v>4.42</v>
      </c>
    </row>
    <row r="153" spans="1:16" s="400" customFormat="1" ht="30.15">
      <c r="A153" s="481">
        <v>0</v>
      </c>
      <c r="B153" s="482"/>
      <c r="C153" s="483" t="s">
        <v>1122</v>
      </c>
      <c r="D153" s="482" t="s">
        <v>136</v>
      </c>
      <c r="E153" s="473">
        <v>1</v>
      </c>
      <c r="F153" s="462"/>
      <c r="G153" s="463"/>
      <c r="H153" s="455">
        <f t="shared" si="36"/>
        <v>0</v>
      </c>
      <c r="I153" s="464">
        <f>90*E151</f>
        <v>0.54</v>
      </c>
      <c r="J153" s="464"/>
      <c r="K153" s="102">
        <f t="shared" si="37"/>
        <v>0.54</v>
      </c>
      <c r="L153" s="50">
        <f t="shared" si="38"/>
        <v>0</v>
      </c>
      <c r="M153" s="102">
        <f t="shared" si="39"/>
        <v>0</v>
      </c>
      <c r="N153" s="102">
        <f t="shared" si="40"/>
        <v>0.54</v>
      </c>
      <c r="O153" s="102">
        <f t="shared" si="41"/>
        <v>0</v>
      </c>
      <c r="P153" s="103">
        <f t="shared" si="42"/>
        <v>0.54</v>
      </c>
    </row>
    <row r="154" spans="1:16" s="400" customFormat="1" ht="15.05">
      <c r="A154" s="481">
        <v>65</v>
      </c>
      <c r="B154" s="482"/>
      <c r="C154" s="483" t="s">
        <v>1124</v>
      </c>
      <c r="D154" s="482" t="s">
        <v>884</v>
      </c>
      <c r="E154" s="473">
        <v>7.0000000000000001E-3</v>
      </c>
      <c r="F154" s="462">
        <v>3.98</v>
      </c>
      <c r="G154" s="463">
        <v>9.5</v>
      </c>
      <c r="H154" s="455">
        <f t="shared" si="36"/>
        <v>37.81</v>
      </c>
      <c r="I154" s="464">
        <v>0</v>
      </c>
      <c r="J154" s="464">
        <v>2.8</v>
      </c>
      <c r="K154" s="102">
        <f t="shared" si="37"/>
        <v>40.61</v>
      </c>
      <c r="L154" s="50">
        <f t="shared" si="38"/>
        <v>0.03</v>
      </c>
      <c r="M154" s="102">
        <f t="shared" si="39"/>
        <v>0.26</v>
      </c>
      <c r="N154" s="102">
        <f t="shared" si="40"/>
        <v>0</v>
      </c>
      <c r="O154" s="102">
        <f t="shared" si="41"/>
        <v>0.02</v>
      </c>
      <c r="P154" s="103">
        <f t="shared" si="42"/>
        <v>0.28000000000000003</v>
      </c>
    </row>
    <row r="155" spans="1:16" s="400" customFormat="1" ht="15.05">
      <c r="A155" s="481">
        <v>0</v>
      </c>
      <c r="B155" s="482"/>
      <c r="C155" s="483" t="s">
        <v>1125</v>
      </c>
      <c r="D155" s="482" t="s">
        <v>884</v>
      </c>
      <c r="E155" s="473">
        <f>E154*1.05</f>
        <v>7.3500000000000006E-3</v>
      </c>
      <c r="F155" s="462"/>
      <c r="G155" s="463"/>
      <c r="H155" s="455">
        <f t="shared" si="36"/>
        <v>0</v>
      </c>
      <c r="I155" s="464">
        <v>73</v>
      </c>
      <c r="J155" s="464"/>
      <c r="K155" s="102">
        <f t="shared" si="37"/>
        <v>73</v>
      </c>
      <c r="L155" s="50">
        <f t="shared" si="38"/>
        <v>0</v>
      </c>
      <c r="M155" s="102">
        <f t="shared" si="39"/>
        <v>0</v>
      </c>
      <c r="N155" s="102">
        <f t="shared" si="40"/>
        <v>0.54</v>
      </c>
      <c r="O155" s="102">
        <f t="shared" si="41"/>
        <v>0</v>
      </c>
      <c r="P155" s="103">
        <f t="shared" si="42"/>
        <v>0.54</v>
      </c>
    </row>
    <row r="156" spans="1:16" s="400" customFormat="1" ht="15.05">
      <c r="A156" s="481">
        <v>0</v>
      </c>
      <c r="B156" s="482"/>
      <c r="C156" s="483" t="s">
        <v>1116</v>
      </c>
      <c r="D156" s="482" t="s">
        <v>1117</v>
      </c>
      <c r="E156" s="473">
        <f>E154*0.25</f>
        <v>1.75E-3</v>
      </c>
      <c r="F156" s="462"/>
      <c r="G156" s="463"/>
      <c r="H156" s="455">
        <f t="shared" si="36"/>
        <v>0</v>
      </c>
      <c r="I156" s="464">
        <v>0</v>
      </c>
      <c r="J156" s="464">
        <v>80</v>
      </c>
      <c r="K156" s="102">
        <f t="shared" si="37"/>
        <v>80</v>
      </c>
      <c r="L156" s="50">
        <f t="shared" si="38"/>
        <v>0</v>
      </c>
      <c r="M156" s="102">
        <f t="shared" si="39"/>
        <v>0</v>
      </c>
      <c r="N156" s="102">
        <f t="shared" si="40"/>
        <v>0</v>
      </c>
      <c r="O156" s="102">
        <f t="shared" si="41"/>
        <v>0.14000000000000001</v>
      </c>
      <c r="P156" s="103">
        <f t="shared" si="42"/>
        <v>0.14000000000000001</v>
      </c>
    </row>
    <row r="157" spans="1:16" s="400" customFormat="1" ht="15.05">
      <c r="A157" s="481">
        <v>66</v>
      </c>
      <c r="B157" s="482"/>
      <c r="C157" s="631" t="s">
        <v>1472</v>
      </c>
      <c r="D157" s="482" t="s">
        <v>884</v>
      </c>
      <c r="E157" s="473">
        <v>0.15</v>
      </c>
      <c r="F157" s="462">
        <v>3.98</v>
      </c>
      <c r="G157" s="463">
        <v>9.5</v>
      </c>
      <c r="H157" s="455">
        <f t="shared" si="36"/>
        <v>37.81</v>
      </c>
      <c r="I157" s="464">
        <v>0</v>
      </c>
      <c r="J157" s="464">
        <v>2.8</v>
      </c>
      <c r="K157" s="102">
        <f t="shared" si="37"/>
        <v>40.61</v>
      </c>
      <c r="L157" s="50">
        <f t="shared" si="38"/>
        <v>0.6</v>
      </c>
      <c r="M157" s="102">
        <f t="shared" si="39"/>
        <v>5.67</v>
      </c>
      <c r="N157" s="102">
        <f t="shared" si="40"/>
        <v>0</v>
      </c>
      <c r="O157" s="102">
        <f t="shared" si="41"/>
        <v>0.42</v>
      </c>
      <c r="P157" s="103">
        <f t="shared" si="42"/>
        <v>6.09</v>
      </c>
    </row>
    <row r="158" spans="1:16" s="400" customFormat="1" ht="15.05">
      <c r="A158" s="481">
        <v>0</v>
      </c>
      <c r="B158" s="482"/>
      <c r="C158" s="483" t="s">
        <v>1125</v>
      </c>
      <c r="D158" s="482" t="s">
        <v>884</v>
      </c>
      <c r="E158" s="473">
        <f>E157*1.05</f>
        <v>0.1575</v>
      </c>
      <c r="F158" s="462"/>
      <c r="G158" s="463"/>
      <c r="H158" s="455">
        <f t="shared" si="36"/>
        <v>0</v>
      </c>
      <c r="I158" s="464">
        <v>73</v>
      </c>
      <c r="J158" s="464"/>
      <c r="K158" s="102">
        <f t="shared" si="37"/>
        <v>73</v>
      </c>
      <c r="L158" s="50">
        <f t="shared" si="38"/>
        <v>0</v>
      </c>
      <c r="M158" s="102">
        <f t="shared" si="39"/>
        <v>0</v>
      </c>
      <c r="N158" s="102">
        <f t="shared" si="40"/>
        <v>11.5</v>
      </c>
      <c r="O158" s="102">
        <f t="shared" si="41"/>
        <v>0</v>
      </c>
      <c r="P158" s="103">
        <f t="shared" si="42"/>
        <v>11.5</v>
      </c>
    </row>
    <row r="159" spans="1:16" s="400" customFormat="1" ht="15.05">
      <c r="A159" s="481">
        <v>0</v>
      </c>
      <c r="B159" s="482"/>
      <c r="C159" s="483" t="s">
        <v>1116</v>
      </c>
      <c r="D159" s="482" t="s">
        <v>1117</v>
      </c>
      <c r="E159" s="473">
        <f>E157*0.25</f>
        <v>3.7499999999999999E-2</v>
      </c>
      <c r="F159" s="462"/>
      <c r="G159" s="463"/>
      <c r="H159" s="455">
        <f t="shared" si="36"/>
        <v>0</v>
      </c>
      <c r="I159" s="464">
        <v>0</v>
      </c>
      <c r="J159" s="464">
        <v>80</v>
      </c>
      <c r="K159" s="102">
        <f t="shared" si="37"/>
        <v>80</v>
      </c>
      <c r="L159" s="50">
        <f t="shared" si="38"/>
        <v>0</v>
      </c>
      <c r="M159" s="102">
        <f t="shared" si="39"/>
        <v>0</v>
      </c>
      <c r="N159" s="102">
        <f t="shared" si="40"/>
        <v>0</v>
      </c>
      <c r="O159" s="102">
        <f t="shared" si="41"/>
        <v>3</v>
      </c>
      <c r="P159" s="103">
        <f t="shared" si="42"/>
        <v>3</v>
      </c>
    </row>
    <row r="160" spans="1:16" s="400" customFormat="1" ht="15.05">
      <c r="A160" s="481">
        <v>67</v>
      </c>
      <c r="B160" s="482"/>
      <c r="C160" s="483" t="s">
        <v>1126</v>
      </c>
      <c r="D160" s="482" t="s">
        <v>29</v>
      </c>
      <c r="E160" s="473">
        <v>0.11</v>
      </c>
      <c r="F160" s="462">
        <v>0.26</v>
      </c>
      <c r="G160" s="463">
        <v>9.5</v>
      </c>
      <c r="H160" s="455">
        <f t="shared" si="36"/>
        <v>2.4700000000000002</v>
      </c>
      <c r="I160" s="464">
        <v>2.4</v>
      </c>
      <c r="J160" s="464">
        <v>0.1</v>
      </c>
      <c r="K160" s="102">
        <f t="shared" si="37"/>
        <v>4.97</v>
      </c>
      <c r="L160" s="50">
        <f t="shared" si="38"/>
        <v>0.03</v>
      </c>
      <c r="M160" s="102">
        <f t="shared" si="39"/>
        <v>0.27</v>
      </c>
      <c r="N160" s="102">
        <f t="shared" si="40"/>
        <v>0.26</v>
      </c>
      <c r="O160" s="102">
        <f t="shared" si="41"/>
        <v>0.01</v>
      </c>
      <c r="P160" s="103">
        <f t="shared" si="42"/>
        <v>0.54</v>
      </c>
    </row>
    <row r="161" spans="1:16" s="400" customFormat="1" ht="15.05">
      <c r="A161" s="481">
        <v>68</v>
      </c>
      <c r="B161" s="482"/>
      <c r="C161" s="631" t="s">
        <v>1473</v>
      </c>
      <c r="D161" s="482" t="s">
        <v>1110</v>
      </c>
      <c r="E161" s="473">
        <v>2</v>
      </c>
      <c r="F161" s="462">
        <v>0.57999999999999996</v>
      </c>
      <c r="G161" s="463">
        <v>9.5</v>
      </c>
      <c r="H161" s="455">
        <f t="shared" si="36"/>
        <v>5.51</v>
      </c>
      <c r="I161" s="464">
        <v>16</v>
      </c>
      <c r="J161" s="464">
        <v>1</v>
      </c>
      <c r="K161" s="102">
        <f t="shared" si="37"/>
        <v>22.509999999999998</v>
      </c>
      <c r="L161" s="50">
        <f t="shared" si="38"/>
        <v>1.1599999999999999</v>
      </c>
      <c r="M161" s="102">
        <f t="shared" si="39"/>
        <v>11.02</v>
      </c>
      <c r="N161" s="102">
        <f t="shared" si="40"/>
        <v>32</v>
      </c>
      <c r="O161" s="102">
        <f t="shared" si="41"/>
        <v>2</v>
      </c>
      <c r="P161" s="103">
        <f t="shared" si="42"/>
        <v>45.019999999999996</v>
      </c>
    </row>
    <row r="162" spans="1:16" s="400" customFormat="1" ht="15.05">
      <c r="A162" s="470">
        <v>0</v>
      </c>
      <c r="B162" s="471"/>
      <c r="C162" s="480" t="s">
        <v>1476</v>
      </c>
      <c r="D162" s="471"/>
      <c r="E162" s="473"/>
      <c r="F162" s="462"/>
      <c r="G162" s="463"/>
      <c r="H162" s="455">
        <f t="shared" ref="H162:H175" si="43">ROUND(F162*G162,2)</f>
        <v>0</v>
      </c>
      <c r="I162" s="464"/>
      <c r="J162" s="464"/>
      <c r="K162" s="102">
        <f t="shared" si="29"/>
        <v>0</v>
      </c>
      <c r="L162" s="50">
        <f t="shared" si="30"/>
        <v>0</v>
      </c>
      <c r="M162" s="102">
        <f t="shared" si="31"/>
        <v>0</v>
      </c>
      <c r="N162" s="102">
        <f t="shared" si="32"/>
        <v>0</v>
      </c>
      <c r="O162" s="102">
        <f t="shared" si="33"/>
        <v>0</v>
      </c>
      <c r="P162" s="103">
        <f t="shared" si="34"/>
        <v>0</v>
      </c>
    </row>
    <row r="163" spans="1:16" s="400" customFormat="1" ht="15.05">
      <c r="A163" s="481">
        <v>69</v>
      </c>
      <c r="B163" s="482"/>
      <c r="C163" s="631" t="s">
        <v>1471</v>
      </c>
      <c r="D163" s="482" t="s">
        <v>884</v>
      </c>
      <c r="E163" s="473">
        <v>9.8000000000000004E-2</v>
      </c>
      <c r="F163" s="462">
        <v>1</v>
      </c>
      <c r="G163" s="463">
        <v>9.5</v>
      </c>
      <c r="H163" s="455">
        <f t="shared" si="43"/>
        <v>9.5</v>
      </c>
      <c r="I163" s="464">
        <v>22.8</v>
      </c>
      <c r="J163" s="464">
        <v>1.5</v>
      </c>
      <c r="K163" s="102">
        <f t="shared" si="29"/>
        <v>33.799999999999997</v>
      </c>
      <c r="L163" s="50">
        <f t="shared" si="30"/>
        <v>0.1</v>
      </c>
      <c r="M163" s="102">
        <f t="shared" si="31"/>
        <v>0.93</v>
      </c>
      <c r="N163" s="102">
        <f t="shared" si="32"/>
        <v>2.23</v>
      </c>
      <c r="O163" s="102">
        <f t="shared" si="33"/>
        <v>0.15</v>
      </c>
      <c r="P163" s="103">
        <f t="shared" si="34"/>
        <v>3.31</v>
      </c>
    </row>
    <row r="164" spans="1:16" s="400" customFormat="1" ht="30.15">
      <c r="A164" s="481">
        <v>70</v>
      </c>
      <c r="B164" s="482"/>
      <c r="C164" s="483" t="s">
        <v>1118</v>
      </c>
      <c r="D164" s="482" t="s">
        <v>29</v>
      </c>
      <c r="E164" s="473">
        <v>4</v>
      </c>
      <c r="F164" s="462">
        <v>0.65</v>
      </c>
      <c r="G164" s="463">
        <v>9.5</v>
      </c>
      <c r="H164" s="455">
        <f t="shared" si="43"/>
        <v>6.18</v>
      </c>
      <c r="I164" s="464">
        <v>0.68</v>
      </c>
      <c r="J164" s="464">
        <v>8.5</v>
      </c>
      <c r="K164" s="102">
        <f t="shared" si="29"/>
        <v>15.36</v>
      </c>
      <c r="L164" s="50">
        <f t="shared" si="30"/>
        <v>2.6</v>
      </c>
      <c r="M164" s="102">
        <f t="shared" si="31"/>
        <v>24.72</v>
      </c>
      <c r="N164" s="102">
        <f t="shared" si="32"/>
        <v>2.72</v>
      </c>
      <c r="O164" s="102">
        <f t="shared" si="33"/>
        <v>34</v>
      </c>
      <c r="P164" s="103">
        <f t="shared" si="34"/>
        <v>61.44</v>
      </c>
    </row>
    <row r="165" spans="1:16" s="400" customFormat="1" ht="30.15">
      <c r="A165" s="481">
        <v>71</v>
      </c>
      <c r="B165" s="482"/>
      <c r="C165" s="483" t="s">
        <v>1119</v>
      </c>
      <c r="D165" s="482" t="s">
        <v>1120</v>
      </c>
      <c r="E165" s="473">
        <v>6.0000000000000001E-3</v>
      </c>
      <c r="F165" s="462">
        <v>28.42</v>
      </c>
      <c r="G165" s="463">
        <v>9.5</v>
      </c>
      <c r="H165" s="455">
        <f t="shared" si="43"/>
        <v>269.99</v>
      </c>
      <c r="I165" s="464">
        <v>0</v>
      </c>
      <c r="J165" s="464">
        <v>40</v>
      </c>
      <c r="K165" s="102">
        <f t="shared" si="29"/>
        <v>309.99</v>
      </c>
      <c r="L165" s="50">
        <f t="shared" si="30"/>
        <v>0.17</v>
      </c>
      <c r="M165" s="102">
        <f t="shared" si="31"/>
        <v>1.62</v>
      </c>
      <c r="N165" s="102">
        <f t="shared" si="32"/>
        <v>0</v>
      </c>
      <c r="O165" s="102">
        <f t="shared" si="33"/>
        <v>0.24</v>
      </c>
      <c r="P165" s="103">
        <f t="shared" si="34"/>
        <v>1.86</v>
      </c>
    </row>
    <row r="166" spans="1:16" s="400" customFormat="1" ht="15.05">
      <c r="A166" s="481">
        <v>0</v>
      </c>
      <c r="B166" s="482"/>
      <c r="C166" s="483" t="s">
        <v>1121</v>
      </c>
      <c r="D166" s="482" t="s">
        <v>1120</v>
      </c>
      <c r="E166" s="473">
        <f>E165*1.15</f>
        <v>6.8999999999999999E-3</v>
      </c>
      <c r="F166" s="462"/>
      <c r="G166" s="463"/>
      <c r="H166" s="455">
        <f t="shared" si="43"/>
        <v>0</v>
      </c>
      <c r="I166" s="464">
        <v>640</v>
      </c>
      <c r="J166" s="464"/>
      <c r="K166" s="102">
        <f t="shared" si="29"/>
        <v>640</v>
      </c>
      <c r="L166" s="50">
        <f t="shared" si="30"/>
        <v>0</v>
      </c>
      <c r="M166" s="102">
        <f t="shared" si="31"/>
        <v>0</v>
      </c>
      <c r="N166" s="102">
        <f t="shared" si="32"/>
        <v>4.42</v>
      </c>
      <c r="O166" s="102">
        <f t="shared" si="33"/>
        <v>0</v>
      </c>
      <c r="P166" s="103">
        <f t="shared" si="34"/>
        <v>4.42</v>
      </c>
    </row>
    <row r="167" spans="1:16" s="400" customFormat="1" ht="30.15">
      <c r="A167" s="481">
        <v>0</v>
      </c>
      <c r="B167" s="482"/>
      <c r="C167" s="483" t="s">
        <v>1122</v>
      </c>
      <c r="D167" s="482" t="s">
        <v>136</v>
      </c>
      <c r="E167" s="473">
        <v>1</v>
      </c>
      <c r="F167" s="462"/>
      <c r="G167" s="463"/>
      <c r="H167" s="455">
        <f t="shared" si="43"/>
        <v>0</v>
      </c>
      <c r="I167" s="464">
        <f>90*E165</f>
        <v>0.54</v>
      </c>
      <c r="J167" s="464"/>
      <c r="K167" s="102">
        <f t="shared" si="29"/>
        <v>0.54</v>
      </c>
      <c r="L167" s="50">
        <f t="shared" si="30"/>
        <v>0</v>
      </c>
      <c r="M167" s="102">
        <f t="shared" si="31"/>
        <v>0</v>
      </c>
      <c r="N167" s="102">
        <f t="shared" si="32"/>
        <v>0.54</v>
      </c>
      <c r="O167" s="102">
        <f t="shared" si="33"/>
        <v>0</v>
      </c>
      <c r="P167" s="103">
        <f t="shared" si="34"/>
        <v>0.54</v>
      </c>
    </row>
    <row r="168" spans="1:16" s="400" customFormat="1" ht="15.05">
      <c r="A168" s="481">
        <v>72</v>
      </c>
      <c r="B168" s="482"/>
      <c r="C168" s="483" t="s">
        <v>1124</v>
      </c>
      <c r="D168" s="482" t="s">
        <v>884</v>
      </c>
      <c r="E168" s="473">
        <v>7.0000000000000001E-3</v>
      </c>
      <c r="F168" s="462">
        <v>3.98</v>
      </c>
      <c r="G168" s="463">
        <v>9.5</v>
      </c>
      <c r="H168" s="455">
        <f t="shared" si="43"/>
        <v>37.81</v>
      </c>
      <c r="I168" s="464">
        <v>0</v>
      </c>
      <c r="J168" s="464">
        <v>2.8</v>
      </c>
      <c r="K168" s="102">
        <f t="shared" si="29"/>
        <v>40.61</v>
      </c>
      <c r="L168" s="50">
        <f t="shared" si="30"/>
        <v>0.03</v>
      </c>
      <c r="M168" s="102">
        <f t="shared" si="31"/>
        <v>0.26</v>
      </c>
      <c r="N168" s="102">
        <f t="shared" si="32"/>
        <v>0</v>
      </c>
      <c r="O168" s="102">
        <f t="shared" si="33"/>
        <v>0.02</v>
      </c>
      <c r="P168" s="103">
        <f t="shared" si="34"/>
        <v>0.28000000000000003</v>
      </c>
    </row>
    <row r="169" spans="1:16" s="400" customFormat="1" ht="15.05">
      <c r="A169" s="481">
        <v>0</v>
      </c>
      <c r="B169" s="482"/>
      <c r="C169" s="483" t="s">
        <v>1125</v>
      </c>
      <c r="D169" s="482" t="s">
        <v>884</v>
      </c>
      <c r="E169" s="473">
        <f>E168*1.05</f>
        <v>7.3500000000000006E-3</v>
      </c>
      <c r="F169" s="462"/>
      <c r="G169" s="463"/>
      <c r="H169" s="455">
        <f t="shared" si="43"/>
        <v>0</v>
      </c>
      <c r="I169" s="464">
        <v>73</v>
      </c>
      <c r="J169" s="464"/>
      <c r="K169" s="102">
        <f t="shared" si="29"/>
        <v>73</v>
      </c>
      <c r="L169" s="50">
        <f t="shared" si="30"/>
        <v>0</v>
      </c>
      <c r="M169" s="102">
        <f t="shared" si="31"/>
        <v>0</v>
      </c>
      <c r="N169" s="102">
        <f t="shared" si="32"/>
        <v>0.54</v>
      </c>
      <c r="O169" s="102">
        <f t="shared" si="33"/>
        <v>0</v>
      </c>
      <c r="P169" s="103">
        <f t="shared" si="34"/>
        <v>0.54</v>
      </c>
    </row>
    <row r="170" spans="1:16" s="400" customFormat="1" ht="15.05">
      <c r="A170" s="481">
        <v>0</v>
      </c>
      <c r="B170" s="482"/>
      <c r="C170" s="483" t="s">
        <v>1116</v>
      </c>
      <c r="D170" s="482" t="s">
        <v>1117</v>
      </c>
      <c r="E170" s="473">
        <f>E168*0.25</f>
        <v>1.75E-3</v>
      </c>
      <c r="F170" s="462"/>
      <c r="G170" s="463"/>
      <c r="H170" s="455">
        <f t="shared" si="43"/>
        <v>0</v>
      </c>
      <c r="I170" s="464">
        <v>0</v>
      </c>
      <c r="J170" s="464">
        <v>80</v>
      </c>
      <c r="K170" s="102">
        <f t="shared" si="29"/>
        <v>80</v>
      </c>
      <c r="L170" s="50">
        <f t="shared" si="30"/>
        <v>0</v>
      </c>
      <c r="M170" s="102">
        <f t="shared" si="31"/>
        <v>0</v>
      </c>
      <c r="N170" s="102">
        <f t="shared" si="32"/>
        <v>0</v>
      </c>
      <c r="O170" s="102">
        <f t="shared" si="33"/>
        <v>0.14000000000000001</v>
      </c>
      <c r="P170" s="103">
        <f t="shared" si="34"/>
        <v>0.14000000000000001</v>
      </c>
    </row>
    <row r="171" spans="1:16" s="400" customFormat="1" ht="15.05">
      <c r="A171" s="481">
        <v>73</v>
      </c>
      <c r="B171" s="482"/>
      <c r="C171" s="631" t="s">
        <v>1472</v>
      </c>
      <c r="D171" s="482" t="s">
        <v>884</v>
      </c>
      <c r="E171" s="473">
        <v>0.15</v>
      </c>
      <c r="F171" s="462">
        <v>3.98</v>
      </c>
      <c r="G171" s="463">
        <v>9.5</v>
      </c>
      <c r="H171" s="455">
        <f t="shared" si="43"/>
        <v>37.81</v>
      </c>
      <c r="I171" s="464">
        <v>0</v>
      </c>
      <c r="J171" s="464">
        <v>2.8</v>
      </c>
      <c r="K171" s="102">
        <f t="shared" si="29"/>
        <v>40.61</v>
      </c>
      <c r="L171" s="50">
        <f t="shared" si="30"/>
        <v>0.6</v>
      </c>
      <c r="M171" s="102">
        <f t="shared" si="31"/>
        <v>5.67</v>
      </c>
      <c r="N171" s="102">
        <f t="shared" si="32"/>
        <v>0</v>
      </c>
      <c r="O171" s="102">
        <f t="shared" si="33"/>
        <v>0.42</v>
      </c>
      <c r="P171" s="103">
        <f t="shared" si="34"/>
        <v>6.09</v>
      </c>
    </row>
    <row r="172" spans="1:16" s="400" customFormat="1" ht="15.05">
      <c r="A172" s="481">
        <v>0</v>
      </c>
      <c r="B172" s="482"/>
      <c r="C172" s="483" t="s">
        <v>1125</v>
      </c>
      <c r="D172" s="482" t="s">
        <v>884</v>
      </c>
      <c r="E172" s="473">
        <f>E171*1.05</f>
        <v>0.1575</v>
      </c>
      <c r="F172" s="462"/>
      <c r="G172" s="463"/>
      <c r="H172" s="455">
        <f t="shared" si="43"/>
        <v>0</v>
      </c>
      <c r="I172" s="464">
        <v>73</v>
      </c>
      <c r="J172" s="464"/>
      <c r="K172" s="102">
        <f t="shared" si="29"/>
        <v>73</v>
      </c>
      <c r="L172" s="50">
        <f t="shared" si="30"/>
        <v>0</v>
      </c>
      <c r="M172" s="102">
        <f t="shared" si="31"/>
        <v>0</v>
      </c>
      <c r="N172" s="102">
        <f t="shared" si="32"/>
        <v>11.5</v>
      </c>
      <c r="O172" s="102">
        <f t="shared" si="33"/>
        <v>0</v>
      </c>
      <c r="P172" s="103">
        <f t="shared" si="34"/>
        <v>11.5</v>
      </c>
    </row>
    <row r="173" spans="1:16" s="400" customFormat="1" ht="15.05">
      <c r="A173" s="481">
        <v>0</v>
      </c>
      <c r="B173" s="482"/>
      <c r="C173" s="483" t="s">
        <v>1116</v>
      </c>
      <c r="D173" s="482" t="s">
        <v>1117</v>
      </c>
      <c r="E173" s="473">
        <f>E171*0.25</f>
        <v>3.7499999999999999E-2</v>
      </c>
      <c r="F173" s="462"/>
      <c r="G173" s="463"/>
      <c r="H173" s="455">
        <f t="shared" si="43"/>
        <v>0</v>
      </c>
      <c r="I173" s="464">
        <v>0</v>
      </c>
      <c r="J173" s="464">
        <v>80</v>
      </c>
      <c r="K173" s="102">
        <f t="shared" si="29"/>
        <v>80</v>
      </c>
      <c r="L173" s="50">
        <f t="shared" si="30"/>
        <v>0</v>
      </c>
      <c r="M173" s="102">
        <f t="shared" si="31"/>
        <v>0</v>
      </c>
      <c r="N173" s="102">
        <f t="shared" si="32"/>
        <v>0</v>
      </c>
      <c r="O173" s="102">
        <f t="shared" si="33"/>
        <v>3</v>
      </c>
      <c r="P173" s="103">
        <f t="shared" si="34"/>
        <v>3</v>
      </c>
    </row>
    <row r="174" spans="1:16" s="400" customFormat="1" ht="15.05">
      <c r="A174" s="481">
        <v>74</v>
      </c>
      <c r="B174" s="482"/>
      <c r="C174" s="483" t="s">
        <v>1126</v>
      </c>
      <c r="D174" s="482" t="s">
        <v>29</v>
      </c>
      <c r="E174" s="473">
        <v>0.11</v>
      </c>
      <c r="F174" s="462">
        <v>0.26</v>
      </c>
      <c r="G174" s="463">
        <v>9.5</v>
      </c>
      <c r="H174" s="455">
        <f t="shared" si="43"/>
        <v>2.4700000000000002</v>
      </c>
      <c r="I174" s="464">
        <v>2.4</v>
      </c>
      <c r="J174" s="464">
        <v>0.1</v>
      </c>
      <c r="K174" s="102">
        <f t="shared" si="29"/>
        <v>4.97</v>
      </c>
      <c r="L174" s="50">
        <f t="shared" si="30"/>
        <v>0.03</v>
      </c>
      <c r="M174" s="102">
        <f t="shared" si="31"/>
        <v>0.27</v>
      </c>
      <c r="N174" s="102">
        <f t="shared" si="32"/>
        <v>0.26</v>
      </c>
      <c r="O174" s="102">
        <f t="shared" si="33"/>
        <v>0.01</v>
      </c>
      <c r="P174" s="103">
        <f t="shared" si="34"/>
        <v>0.54</v>
      </c>
    </row>
    <row r="175" spans="1:16" s="400" customFormat="1" ht="15.05">
      <c r="A175" s="481">
        <v>75</v>
      </c>
      <c r="B175" s="482"/>
      <c r="C175" s="631" t="s">
        <v>1473</v>
      </c>
      <c r="D175" s="482" t="s">
        <v>1110</v>
      </c>
      <c r="E175" s="473">
        <v>2</v>
      </c>
      <c r="F175" s="462">
        <v>0.57999999999999996</v>
      </c>
      <c r="G175" s="463">
        <v>9.5</v>
      </c>
      <c r="H175" s="455">
        <f t="shared" si="43"/>
        <v>5.51</v>
      </c>
      <c r="I175" s="464">
        <v>16</v>
      </c>
      <c r="J175" s="464">
        <v>1</v>
      </c>
      <c r="K175" s="102">
        <f t="shared" si="29"/>
        <v>22.509999999999998</v>
      </c>
      <c r="L175" s="50">
        <f t="shared" si="30"/>
        <v>1.1599999999999999</v>
      </c>
      <c r="M175" s="102">
        <f t="shared" si="31"/>
        <v>11.02</v>
      </c>
      <c r="N175" s="102">
        <f t="shared" si="32"/>
        <v>32</v>
      </c>
      <c r="O175" s="102">
        <f t="shared" si="33"/>
        <v>2</v>
      </c>
      <c r="P175" s="103">
        <f t="shared" si="34"/>
        <v>45.019999999999996</v>
      </c>
    </row>
    <row r="176" spans="1:16" s="400" customFormat="1" ht="15.05">
      <c r="A176" s="470">
        <v>0</v>
      </c>
      <c r="B176" s="471"/>
      <c r="C176" s="480" t="s">
        <v>1475</v>
      </c>
      <c r="D176" s="471"/>
      <c r="E176" s="473"/>
      <c r="F176" s="462"/>
      <c r="G176" s="463"/>
      <c r="H176" s="455">
        <f t="shared" ref="H176:H189" si="44">ROUND(F176*G176,2)</f>
        <v>0</v>
      </c>
      <c r="I176" s="464"/>
      <c r="J176" s="464"/>
      <c r="K176" s="102">
        <f t="shared" ref="K176:K189" si="45">SUM(H176:J176)</f>
        <v>0</v>
      </c>
      <c r="L176" s="50">
        <f t="shared" ref="L176:L189" si="46">ROUND(F176*E176,2)</f>
        <v>0</v>
      </c>
      <c r="M176" s="102">
        <f t="shared" ref="M176:M189" si="47">ROUND(H176*E176,2)</f>
        <v>0</v>
      </c>
      <c r="N176" s="102">
        <f t="shared" ref="N176:N189" si="48">ROUND(I176*E176,2)</f>
        <v>0</v>
      </c>
      <c r="O176" s="102">
        <f t="shared" ref="O176:O189" si="49">ROUND(J176*E176,2)</f>
        <v>0</v>
      </c>
      <c r="P176" s="103">
        <f t="shared" ref="P176:P189" si="50">SUM(M176:O176)</f>
        <v>0</v>
      </c>
    </row>
    <row r="177" spans="1:16" s="400" customFormat="1" ht="15.05">
      <c r="A177" s="481">
        <v>76</v>
      </c>
      <c r="B177" s="482"/>
      <c r="C177" s="631" t="s">
        <v>1471</v>
      </c>
      <c r="D177" s="482" t="s">
        <v>884</v>
      </c>
      <c r="E177" s="473">
        <f>0.55+0.098</f>
        <v>0.64800000000000002</v>
      </c>
      <c r="F177" s="462">
        <v>1</v>
      </c>
      <c r="G177" s="463">
        <v>9.5</v>
      </c>
      <c r="H177" s="455">
        <f t="shared" si="44"/>
        <v>9.5</v>
      </c>
      <c r="I177" s="464">
        <v>22.8</v>
      </c>
      <c r="J177" s="464">
        <v>1.5</v>
      </c>
      <c r="K177" s="102">
        <f t="shared" si="45"/>
        <v>33.799999999999997</v>
      </c>
      <c r="L177" s="50">
        <f t="shared" si="46"/>
        <v>0.65</v>
      </c>
      <c r="M177" s="102">
        <f t="shared" si="47"/>
        <v>6.16</v>
      </c>
      <c r="N177" s="102">
        <f t="shared" si="48"/>
        <v>14.77</v>
      </c>
      <c r="O177" s="102">
        <f t="shared" si="49"/>
        <v>0.97</v>
      </c>
      <c r="P177" s="103">
        <f t="shared" si="50"/>
        <v>21.9</v>
      </c>
    </row>
    <row r="178" spans="1:16" s="400" customFormat="1" ht="30.15">
      <c r="A178" s="481">
        <v>77</v>
      </c>
      <c r="B178" s="482"/>
      <c r="C178" s="483" t="s">
        <v>1118</v>
      </c>
      <c r="D178" s="482" t="s">
        <v>29</v>
      </c>
      <c r="E178" s="473">
        <v>14</v>
      </c>
      <c r="F178" s="462">
        <v>0.65</v>
      </c>
      <c r="G178" s="463">
        <v>9.5</v>
      </c>
      <c r="H178" s="455">
        <f t="shared" si="44"/>
        <v>6.18</v>
      </c>
      <c r="I178" s="464">
        <v>0.68</v>
      </c>
      <c r="J178" s="464">
        <v>8.5</v>
      </c>
      <c r="K178" s="102">
        <f t="shared" si="45"/>
        <v>15.36</v>
      </c>
      <c r="L178" s="50">
        <f t="shared" si="46"/>
        <v>9.1</v>
      </c>
      <c r="M178" s="102">
        <f t="shared" si="47"/>
        <v>86.52</v>
      </c>
      <c r="N178" s="102">
        <f t="shared" si="48"/>
        <v>9.52</v>
      </c>
      <c r="O178" s="102">
        <f t="shared" si="49"/>
        <v>119</v>
      </c>
      <c r="P178" s="103">
        <f t="shared" si="50"/>
        <v>215.04</v>
      </c>
    </row>
    <row r="179" spans="1:16" s="400" customFormat="1" ht="30.15">
      <c r="A179" s="481">
        <v>78</v>
      </c>
      <c r="B179" s="482"/>
      <c r="C179" s="483" t="s">
        <v>1119</v>
      </c>
      <c r="D179" s="482" t="s">
        <v>1120</v>
      </c>
      <c r="E179" s="473">
        <f>0.09</f>
        <v>0.09</v>
      </c>
      <c r="F179" s="462">
        <v>28.42</v>
      </c>
      <c r="G179" s="463">
        <v>9.5</v>
      </c>
      <c r="H179" s="455">
        <f t="shared" si="44"/>
        <v>269.99</v>
      </c>
      <c r="I179" s="464">
        <v>0</v>
      </c>
      <c r="J179" s="464">
        <v>40</v>
      </c>
      <c r="K179" s="102">
        <f t="shared" si="45"/>
        <v>309.99</v>
      </c>
      <c r="L179" s="50">
        <f t="shared" si="46"/>
        <v>2.56</v>
      </c>
      <c r="M179" s="102">
        <f t="shared" si="47"/>
        <v>24.3</v>
      </c>
      <c r="N179" s="102">
        <f t="shared" si="48"/>
        <v>0</v>
      </c>
      <c r="O179" s="102">
        <f t="shared" si="49"/>
        <v>3.6</v>
      </c>
      <c r="P179" s="103">
        <f t="shared" si="50"/>
        <v>27.900000000000002</v>
      </c>
    </row>
    <row r="180" spans="1:16" s="400" customFormat="1" ht="15.05">
      <c r="A180" s="481">
        <v>0</v>
      </c>
      <c r="B180" s="482"/>
      <c r="C180" s="483" t="s">
        <v>1121</v>
      </c>
      <c r="D180" s="482" t="s">
        <v>1120</v>
      </c>
      <c r="E180" s="473">
        <f>E179*1.15</f>
        <v>0.10349999999999999</v>
      </c>
      <c r="F180" s="462"/>
      <c r="G180" s="463"/>
      <c r="H180" s="455">
        <f t="shared" si="44"/>
        <v>0</v>
      </c>
      <c r="I180" s="464">
        <v>640</v>
      </c>
      <c r="J180" s="464"/>
      <c r="K180" s="102">
        <f t="shared" si="45"/>
        <v>640</v>
      </c>
      <c r="L180" s="50">
        <f t="shared" si="46"/>
        <v>0</v>
      </c>
      <c r="M180" s="102">
        <f t="shared" si="47"/>
        <v>0</v>
      </c>
      <c r="N180" s="102">
        <f t="shared" si="48"/>
        <v>66.239999999999995</v>
      </c>
      <c r="O180" s="102">
        <f t="shared" si="49"/>
        <v>0</v>
      </c>
      <c r="P180" s="103">
        <f t="shared" si="50"/>
        <v>66.239999999999995</v>
      </c>
    </row>
    <row r="181" spans="1:16" s="400" customFormat="1" ht="30.15">
      <c r="A181" s="481">
        <v>0</v>
      </c>
      <c r="B181" s="482"/>
      <c r="C181" s="483" t="s">
        <v>1122</v>
      </c>
      <c r="D181" s="482" t="s">
        <v>136</v>
      </c>
      <c r="E181" s="473">
        <v>1</v>
      </c>
      <c r="F181" s="462"/>
      <c r="G181" s="463"/>
      <c r="H181" s="455">
        <f t="shared" si="44"/>
        <v>0</v>
      </c>
      <c r="I181" s="464">
        <f>90*E179</f>
        <v>8.1</v>
      </c>
      <c r="J181" s="464"/>
      <c r="K181" s="102">
        <f t="shared" si="45"/>
        <v>8.1</v>
      </c>
      <c r="L181" s="50">
        <f t="shared" si="46"/>
        <v>0</v>
      </c>
      <c r="M181" s="102">
        <f t="shared" si="47"/>
        <v>0</v>
      </c>
      <c r="N181" s="102">
        <f t="shared" si="48"/>
        <v>8.1</v>
      </c>
      <c r="O181" s="102">
        <f t="shared" si="49"/>
        <v>0</v>
      </c>
      <c r="P181" s="103">
        <f t="shared" si="50"/>
        <v>8.1</v>
      </c>
    </row>
    <row r="182" spans="1:16" s="400" customFormat="1" ht="15.05">
      <c r="A182" s="481">
        <v>79</v>
      </c>
      <c r="B182" s="482"/>
      <c r="C182" s="483" t="s">
        <v>1124</v>
      </c>
      <c r="D182" s="482" t="s">
        <v>884</v>
      </c>
      <c r="E182" s="473">
        <f>0.014</f>
        <v>1.4E-2</v>
      </c>
      <c r="F182" s="462">
        <v>3.98</v>
      </c>
      <c r="G182" s="463">
        <v>9.5</v>
      </c>
      <c r="H182" s="455">
        <f t="shared" si="44"/>
        <v>37.81</v>
      </c>
      <c r="I182" s="464">
        <v>0</v>
      </c>
      <c r="J182" s="464">
        <v>2.8</v>
      </c>
      <c r="K182" s="102">
        <f t="shared" si="45"/>
        <v>40.61</v>
      </c>
      <c r="L182" s="50">
        <f t="shared" si="46"/>
        <v>0.06</v>
      </c>
      <c r="M182" s="102">
        <f t="shared" si="47"/>
        <v>0.53</v>
      </c>
      <c r="N182" s="102">
        <f t="shared" si="48"/>
        <v>0</v>
      </c>
      <c r="O182" s="102">
        <f t="shared" si="49"/>
        <v>0.04</v>
      </c>
      <c r="P182" s="103">
        <f t="shared" si="50"/>
        <v>0.57000000000000006</v>
      </c>
    </row>
    <row r="183" spans="1:16" s="400" customFormat="1" ht="15.05">
      <c r="A183" s="481">
        <v>0</v>
      </c>
      <c r="B183" s="482"/>
      <c r="C183" s="483" t="s">
        <v>1125</v>
      </c>
      <c r="D183" s="482" t="s">
        <v>884</v>
      </c>
      <c r="E183" s="473">
        <f>E182*1.05</f>
        <v>1.4700000000000001E-2</v>
      </c>
      <c r="F183" s="462"/>
      <c r="G183" s="463"/>
      <c r="H183" s="455">
        <f t="shared" si="44"/>
        <v>0</v>
      </c>
      <c r="I183" s="464">
        <v>73</v>
      </c>
      <c r="J183" s="464"/>
      <c r="K183" s="102">
        <f t="shared" si="45"/>
        <v>73</v>
      </c>
      <c r="L183" s="50">
        <f t="shared" si="46"/>
        <v>0</v>
      </c>
      <c r="M183" s="102">
        <f t="shared" si="47"/>
        <v>0</v>
      </c>
      <c r="N183" s="102">
        <f t="shared" si="48"/>
        <v>1.07</v>
      </c>
      <c r="O183" s="102">
        <f t="shared" si="49"/>
        <v>0</v>
      </c>
      <c r="P183" s="103">
        <f t="shared" si="50"/>
        <v>1.07</v>
      </c>
    </row>
    <row r="184" spans="1:16" s="400" customFormat="1" ht="15.05">
      <c r="A184" s="481">
        <v>0</v>
      </c>
      <c r="B184" s="482"/>
      <c r="C184" s="483" t="s">
        <v>1116</v>
      </c>
      <c r="D184" s="482" t="s">
        <v>1117</v>
      </c>
      <c r="E184" s="473">
        <f>E182*0.25</f>
        <v>3.5000000000000001E-3</v>
      </c>
      <c r="F184" s="462"/>
      <c r="G184" s="463"/>
      <c r="H184" s="455">
        <f t="shared" si="44"/>
        <v>0</v>
      </c>
      <c r="I184" s="464">
        <v>0</v>
      </c>
      <c r="J184" s="464">
        <v>80</v>
      </c>
      <c r="K184" s="102">
        <f t="shared" si="45"/>
        <v>80</v>
      </c>
      <c r="L184" s="50">
        <f t="shared" si="46"/>
        <v>0</v>
      </c>
      <c r="M184" s="102">
        <f t="shared" si="47"/>
        <v>0</v>
      </c>
      <c r="N184" s="102">
        <f t="shared" si="48"/>
        <v>0</v>
      </c>
      <c r="O184" s="102">
        <f t="shared" si="49"/>
        <v>0.28000000000000003</v>
      </c>
      <c r="P184" s="103">
        <f t="shared" si="50"/>
        <v>0.28000000000000003</v>
      </c>
    </row>
    <row r="185" spans="1:16" s="400" customFormat="1" ht="15.05">
      <c r="A185" s="481">
        <v>80</v>
      </c>
      <c r="B185" s="482"/>
      <c r="C185" s="631" t="s">
        <v>1472</v>
      </c>
      <c r="D185" s="482" t="s">
        <v>884</v>
      </c>
      <c r="E185" s="473">
        <f>0.95+0.15</f>
        <v>1.0999999999999999</v>
      </c>
      <c r="F185" s="462">
        <v>3.98</v>
      </c>
      <c r="G185" s="463">
        <v>9.5</v>
      </c>
      <c r="H185" s="455">
        <f t="shared" si="44"/>
        <v>37.81</v>
      </c>
      <c r="I185" s="464">
        <v>0</v>
      </c>
      <c r="J185" s="464">
        <v>2.8</v>
      </c>
      <c r="K185" s="102">
        <f t="shared" si="45"/>
        <v>40.61</v>
      </c>
      <c r="L185" s="50">
        <f t="shared" si="46"/>
        <v>4.38</v>
      </c>
      <c r="M185" s="102">
        <f t="shared" si="47"/>
        <v>41.59</v>
      </c>
      <c r="N185" s="102">
        <f t="shared" si="48"/>
        <v>0</v>
      </c>
      <c r="O185" s="102">
        <f t="shared" si="49"/>
        <v>3.08</v>
      </c>
      <c r="P185" s="103">
        <f t="shared" si="50"/>
        <v>44.67</v>
      </c>
    </row>
    <row r="186" spans="1:16" s="400" customFormat="1" ht="15.05">
      <c r="A186" s="481">
        <v>0</v>
      </c>
      <c r="B186" s="482"/>
      <c r="C186" s="483" t="s">
        <v>1125</v>
      </c>
      <c r="D186" s="482" t="s">
        <v>884</v>
      </c>
      <c r="E186" s="473">
        <f>E185*1.05</f>
        <v>1.1549999999999998</v>
      </c>
      <c r="F186" s="462"/>
      <c r="G186" s="463"/>
      <c r="H186" s="455">
        <f t="shared" si="44"/>
        <v>0</v>
      </c>
      <c r="I186" s="464">
        <v>73</v>
      </c>
      <c r="J186" s="464"/>
      <c r="K186" s="102">
        <f t="shared" si="45"/>
        <v>73</v>
      </c>
      <c r="L186" s="50">
        <f t="shared" si="46"/>
        <v>0</v>
      </c>
      <c r="M186" s="102">
        <f t="shared" si="47"/>
        <v>0</v>
      </c>
      <c r="N186" s="102">
        <f t="shared" si="48"/>
        <v>84.32</v>
      </c>
      <c r="O186" s="102">
        <f t="shared" si="49"/>
        <v>0</v>
      </c>
      <c r="P186" s="103">
        <f t="shared" si="50"/>
        <v>84.32</v>
      </c>
    </row>
    <row r="187" spans="1:16" s="400" customFormat="1" ht="15.05">
      <c r="A187" s="481">
        <v>0</v>
      </c>
      <c r="B187" s="482"/>
      <c r="C187" s="483" t="s">
        <v>1116</v>
      </c>
      <c r="D187" s="482" t="s">
        <v>1117</v>
      </c>
      <c r="E187" s="473">
        <f>E185*0.25</f>
        <v>0.27499999999999997</v>
      </c>
      <c r="F187" s="462"/>
      <c r="G187" s="463"/>
      <c r="H187" s="455">
        <f t="shared" si="44"/>
        <v>0</v>
      </c>
      <c r="I187" s="464">
        <v>0</v>
      </c>
      <c r="J187" s="464">
        <v>80</v>
      </c>
      <c r="K187" s="102">
        <f t="shared" si="45"/>
        <v>80</v>
      </c>
      <c r="L187" s="50">
        <f t="shared" si="46"/>
        <v>0</v>
      </c>
      <c r="M187" s="102">
        <f t="shared" si="47"/>
        <v>0</v>
      </c>
      <c r="N187" s="102">
        <f t="shared" si="48"/>
        <v>0</v>
      </c>
      <c r="O187" s="102">
        <f t="shared" si="49"/>
        <v>22</v>
      </c>
      <c r="P187" s="103">
        <f t="shared" si="50"/>
        <v>22</v>
      </c>
    </row>
    <row r="188" spans="1:16" s="400" customFormat="1" ht="15.05">
      <c r="A188" s="481">
        <v>81</v>
      </c>
      <c r="B188" s="482"/>
      <c r="C188" s="483" t="s">
        <v>1126</v>
      </c>
      <c r="D188" s="482" t="s">
        <v>29</v>
      </c>
      <c r="E188" s="473">
        <v>0.3</v>
      </c>
      <c r="F188" s="462">
        <v>0.26</v>
      </c>
      <c r="G188" s="463">
        <v>9.5</v>
      </c>
      <c r="H188" s="455">
        <f t="shared" si="44"/>
        <v>2.4700000000000002</v>
      </c>
      <c r="I188" s="464">
        <v>2.4</v>
      </c>
      <c r="J188" s="464">
        <v>0.1</v>
      </c>
      <c r="K188" s="102">
        <f t="shared" si="45"/>
        <v>4.97</v>
      </c>
      <c r="L188" s="50">
        <f t="shared" si="46"/>
        <v>0.08</v>
      </c>
      <c r="M188" s="102">
        <f t="shared" si="47"/>
        <v>0.74</v>
      </c>
      <c r="N188" s="102">
        <f t="shared" si="48"/>
        <v>0.72</v>
      </c>
      <c r="O188" s="102">
        <f t="shared" si="49"/>
        <v>0.03</v>
      </c>
      <c r="P188" s="103">
        <f t="shared" si="50"/>
        <v>1.49</v>
      </c>
    </row>
    <row r="189" spans="1:16" s="400" customFormat="1" ht="15.05">
      <c r="A189" s="481">
        <v>82</v>
      </c>
      <c r="B189" s="482"/>
      <c r="C189" s="631" t="s">
        <v>1473</v>
      </c>
      <c r="D189" s="482" t="s">
        <v>1110</v>
      </c>
      <c r="E189" s="473">
        <v>4</v>
      </c>
      <c r="F189" s="462">
        <v>0.57999999999999996</v>
      </c>
      <c r="G189" s="463">
        <v>9.5</v>
      </c>
      <c r="H189" s="455">
        <f t="shared" si="44"/>
        <v>5.51</v>
      </c>
      <c r="I189" s="464">
        <v>16</v>
      </c>
      <c r="J189" s="464">
        <v>1</v>
      </c>
      <c r="K189" s="102">
        <f t="shared" si="45"/>
        <v>22.509999999999998</v>
      </c>
      <c r="L189" s="50">
        <f t="shared" si="46"/>
        <v>2.3199999999999998</v>
      </c>
      <c r="M189" s="102">
        <f t="shared" si="47"/>
        <v>22.04</v>
      </c>
      <c r="N189" s="102">
        <f t="shared" si="48"/>
        <v>64</v>
      </c>
      <c r="O189" s="102">
        <f t="shared" si="49"/>
        <v>4</v>
      </c>
      <c r="P189" s="103">
        <f t="shared" si="50"/>
        <v>90.039999999999992</v>
      </c>
    </row>
    <row r="190" spans="1:16" s="400" customFormat="1" ht="15.05">
      <c r="A190" s="470">
        <v>0</v>
      </c>
      <c r="B190" s="471"/>
      <c r="C190" s="480" t="s">
        <v>1474</v>
      </c>
      <c r="D190" s="471"/>
      <c r="E190" s="473"/>
      <c r="F190" s="462"/>
      <c r="G190" s="463"/>
      <c r="H190" s="455">
        <f t="shared" ref="H190:H203" si="51">ROUND(F190*G190,2)</f>
        <v>0</v>
      </c>
      <c r="I190" s="464"/>
      <c r="J190" s="464"/>
      <c r="K190" s="102">
        <f t="shared" si="29"/>
        <v>0</v>
      </c>
      <c r="L190" s="50">
        <f t="shared" si="30"/>
        <v>0</v>
      </c>
      <c r="M190" s="102">
        <f t="shared" si="31"/>
        <v>0</v>
      </c>
      <c r="N190" s="102">
        <f t="shared" si="32"/>
        <v>0</v>
      </c>
      <c r="O190" s="102">
        <f t="shared" si="33"/>
        <v>0</v>
      </c>
      <c r="P190" s="103">
        <f t="shared" si="34"/>
        <v>0</v>
      </c>
    </row>
    <row r="191" spans="1:16" s="400" customFormat="1" ht="15.05">
      <c r="A191" s="481">
        <v>83</v>
      </c>
      <c r="B191" s="482"/>
      <c r="C191" s="631" t="s">
        <v>1471</v>
      </c>
      <c r="D191" s="482" t="s">
        <v>884</v>
      </c>
      <c r="E191" s="473">
        <f>0.55+0.098</f>
        <v>0.64800000000000002</v>
      </c>
      <c r="F191" s="462">
        <v>1</v>
      </c>
      <c r="G191" s="463">
        <v>9.5</v>
      </c>
      <c r="H191" s="455">
        <f t="shared" si="51"/>
        <v>9.5</v>
      </c>
      <c r="I191" s="464">
        <v>22.8</v>
      </c>
      <c r="J191" s="464">
        <v>1.5</v>
      </c>
      <c r="K191" s="102">
        <f t="shared" si="29"/>
        <v>33.799999999999997</v>
      </c>
      <c r="L191" s="50">
        <f t="shared" si="30"/>
        <v>0.65</v>
      </c>
      <c r="M191" s="102">
        <f t="shared" si="31"/>
        <v>6.16</v>
      </c>
      <c r="N191" s="102">
        <f t="shared" si="32"/>
        <v>14.77</v>
      </c>
      <c r="O191" s="102">
        <f t="shared" si="33"/>
        <v>0.97</v>
      </c>
      <c r="P191" s="103">
        <f t="shared" si="34"/>
        <v>21.9</v>
      </c>
    </row>
    <row r="192" spans="1:16" s="400" customFormat="1" ht="30.15">
      <c r="A192" s="481">
        <v>84</v>
      </c>
      <c r="B192" s="482"/>
      <c r="C192" s="483" t="s">
        <v>1118</v>
      </c>
      <c r="D192" s="482" t="s">
        <v>29</v>
      </c>
      <c r="E192" s="473">
        <v>14</v>
      </c>
      <c r="F192" s="462">
        <v>0.65</v>
      </c>
      <c r="G192" s="463">
        <v>9.5</v>
      </c>
      <c r="H192" s="455">
        <f t="shared" si="51"/>
        <v>6.18</v>
      </c>
      <c r="I192" s="464">
        <v>0.68</v>
      </c>
      <c r="J192" s="464">
        <v>8.5</v>
      </c>
      <c r="K192" s="102">
        <f t="shared" si="29"/>
        <v>15.36</v>
      </c>
      <c r="L192" s="50">
        <f t="shared" si="30"/>
        <v>9.1</v>
      </c>
      <c r="M192" s="102">
        <f t="shared" si="31"/>
        <v>86.52</v>
      </c>
      <c r="N192" s="102">
        <f t="shared" si="32"/>
        <v>9.52</v>
      </c>
      <c r="O192" s="102">
        <f t="shared" si="33"/>
        <v>119</v>
      </c>
      <c r="P192" s="103">
        <f t="shared" si="34"/>
        <v>215.04</v>
      </c>
    </row>
    <row r="193" spans="1:16" s="400" customFormat="1" ht="30.15">
      <c r="A193" s="481">
        <v>85</v>
      </c>
      <c r="B193" s="482"/>
      <c r="C193" s="483" t="s">
        <v>1119</v>
      </c>
      <c r="D193" s="482" t="s">
        <v>1120</v>
      </c>
      <c r="E193" s="473">
        <f>0.09</f>
        <v>0.09</v>
      </c>
      <c r="F193" s="462">
        <v>28.42</v>
      </c>
      <c r="G193" s="463">
        <v>9.5</v>
      </c>
      <c r="H193" s="455">
        <f t="shared" si="51"/>
        <v>269.99</v>
      </c>
      <c r="I193" s="464">
        <v>0</v>
      </c>
      <c r="J193" s="464">
        <v>40</v>
      </c>
      <c r="K193" s="102">
        <f t="shared" si="29"/>
        <v>309.99</v>
      </c>
      <c r="L193" s="50">
        <f t="shared" si="30"/>
        <v>2.56</v>
      </c>
      <c r="M193" s="102">
        <f t="shared" si="31"/>
        <v>24.3</v>
      </c>
      <c r="N193" s="102">
        <f t="shared" si="32"/>
        <v>0</v>
      </c>
      <c r="O193" s="102">
        <f t="shared" si="33"/>
        <v>3.6</v>
      </c>
      <c r="P193" s="103">
        <f t="shared" si="34"/>
        <v>27.900000000000002</v>
      </c>
    </row>
    <row r="194" spans="1:16" s="400" customFormat="1" ht="15.05">
      <c r="A194" s="481">
        <v>0</v>
      </c>
      <c r="B194" s="482"/>
      <c r="C194" s="483" t="s">
        <v>1121</v>
      </c>
      <c r="D194" s="482" t="s">
        <v>1120</v>
      </c>
      <c r="E194" s="473">
        <f>E193*1.15</f>
        <v>0.10349999999999999</v>
      </c>
      <c r="F194" s="462"/>
      <c r="G194" s="463"/>
      <c r="H194" s="455">
        <f t="shared" si="51"/>
        <v>0</v>
      </c>
      <c r="I194" s="464">
        <v>640</v>
      </c>
      <c r="J194" s="464"/>
      <c r="K194" s="102">
        <f t="shared" si="29"/>
        <v>640</v>
      </c>
      <c r="L194" s="50">
        <f t="shared" si="30"/>
        <v>0</v>
      </c>
      <c r="M194" s="102">
        <f t="shared" si="31"/>
        <v>0</v>
      </c>
      <c r="N194" s="102">
        <f t="shared" si="32"/>
        <v>66.239999999999995</v>
      </c>
      <c r="O194" s="102">
        <f t="shared" si="33"/>
        <v>0</v>
      </c>
      <c r="P194" s="103">
        <f t="shared" si="34"/>
        <v>66.239999999999995</v>
      </c>
    </row>
    <row r="195" spans="1:16" s="400" customFormat="1" ht="30.15">
      <c r="A195" s="481">
        <v>0</v>
      </c>
      <c r="B195" s="482"/>
      <c r="C195" s="483" t="s">
        <v>1122</v>
      </c>
      <c r="D195" s="482" t="s">
        <v>136</v>
      </c>
      <c r="E195" s="473">
        <v>1</v>
      </c>
      <c r="F195" s="462"/>
      <c r="G195" s="463"/>
      <c r="H195" s="455">
        <f t="shared" si="51"/>
        <v>0</v>
      </c>
      <c r="I195" s="464">
        <f>90*E193</f>
        <v>8.1</v>
      </c>
      <c r="J195" s="464"/>
      <c r="K195" s="102">
        <f t="shared" si="29"/>
        <v>8.1</v>
      </c>
      <c r="L195" s="50">
        <f t="shared" si="30"/>
        <v>0</v>
      </c>
      <c r="M195" s="102">
        <f t="shared" si="31"/>
        <v>0</v>
      </c>
      <c r="N195" s="102">
        <f t="shared" si="32"/>
        <v>8.1</v>
      </c>
      <c r="O195" s="102">
        <f t="shared" si="33"/>
        <v>0</v>
      </c>
      <c r="P195" s="103">
        <f t="shared" si="34"/>
        <v>8.1</v>
      </c>
    </row>
    <row r="196" spans="1:16" s="400" customFormat="1" ht="15.05">
      <c r="A196" s="481">
        <v>86</v>
      </c>
      <c r="B196" s="482"/>
      <c r="C196" s="483" t="s">
        <v>1124</v>
      </c>
      <c r="D196" s="482" t="s">
        <v>884</v>
      </c>
      <c r="E196" s="473">
        <f>0.014</f>
        <v>1.4E-2</v>
      </c>
      <c r="F196" s="462">
        <v>3.98</v>
      </c>
      <c r="G196" s="463">
        <v>9.5</v>
      </c>
      <c r="H196" s="455">
        <f t="shared" si="51"/>
        <v>37.81</v>
      </c>
      <c r="I196" s="464">
        <v>0</v>
      </c>
      <c r="J196" s="464">
        <v>2.8</v>
      </c>
      <c r="K196" s="102">
        <f t="shared" si="29"/>
        <v>40.61</v>
      </c>
      <c r="L196" s="50">
        <f t="shared" si="30"/>
        <v>0.06</v>
      </c>
      <c r="M196" s="102">
        <f t="shared" si="31"/>
        <v>0.53</v>
      </c>
      <c r="N196" s="102">
        <f t="shared" si="32"/>
        <v>0</v>
      </c>
      <c r="O196" s="102">
        <f t="shared" si="33"/>
        <v>0.04</v>
      </c>
      <c r="P196" s="103">
        <f t="shared" si="34"/>
        <v>0.57000000000000006</v>
      </c>
    </row>
    <row r="197" spans="1:16" s="400" customFormat="1" ht="15.05">
      <c r="A197" s="481">
        <v>0</v>
      </c>
      <c r="B197" s="482"/>
      <c r="C197" s="483" t="s">
        <v>1125</v>
      </c>
      <c r="D197" s="482" t="s">
        <v>884</v>
      </c>
      <c r="E197" s="473">
        <f>E196*1.05</f>
        <v>1.4700000000000001E-2</v>
      </c>
      <c r="F197" s="462"/>
      <c r="G197" s="463"/>
      <c r="H197" s="455">
        <f t="shared" si="51"/>
        <v>0</v>
      </c>
      <c r="I197" s="464">
        <v>73</v>
      </c>
      <c r="J197" s="464"/>
      <c r="K197" s="102">
        <f t="shared" si="29"/>
        <v>73</v>
      </c>
      <c r="L197" s="50">
        <f t="shared" si="30"/>
        <v>0</v>
      </c>
      <c r="M197" s="102">
        <f t="shared" si="31"/>
        <v>0</v>
      </c>
      <c r="N197" s="102">
        <f t="shared" si="32"/>
        <v>1.07</v>
      </c>
      <c r="O197" s="102">
        <f t="shared" si="33"/>
        <v>0</v>
      </c>
      <c r="P197" s="103">
        <f t="shared" si="34"/>
        <v>1.07</v>
      </c>
    </row>
    <row r="198" spans="1:16" s="400" customFormat="1" ht="15.05">
      <c r="A198" s="481">
        <v>0</v>
      </c>
      <c r="B198" s="482"/>
      <c r="C198" s="483" t="s">
        <v>1116</v>
      </c>
      <c r="D198" s="482" t="s">
        <v>1117</v>
      </c>
      <c r="E198" s="473">
        <f>E196*0.25</f>
        <v>3.5000000000000001E-3</v>
      </c>
      <c r="F198" s="462"/>
      <c r="G198" s="463"/>
      <c r="H198" s="455">
        <f t="shared" si="51"/>
        <v>0</v>
      </c>
      <c r="I198" s="464">
        <v>0</v>
      </c>
      <c r="J198" s="464">
        <v>80</v>
      </c>
      <c r="K198" s="102">
        <f t="shared" si="29"/>
        <v>80</v>
      </c>
      <c r="L198" s="50">
        <f t="shared" si="30"/>
        <v>0</v>
      </c>
      <c r="M198" s="102">
        <f t="shared" si="31"/>
        <v>0</v>
      </c>
      <c r="N198" s="102">
        <f t="shared" si="32"/>
        <v>0</v>
      </c>
      <c r="O198" s="102">
        <f t="shared" si="33"/>
        <v>0.28000000000000003</v>
      </c>
      <c r="P198" s="103">
        <f t="shared" si="34"/>
        <v>0.28000000000000003</v>
      </c>
    </row>
    <row r="199" spans="1:16" s="400" customFormat="1" ht="15.05">
      <c r="A199" s="481">
        <v>87</v>
      </c>
      <c r="B199" s="482"/>
      <c r="C199" s="631" t="s">
        <v>1472</v>
      </c>
      <c r="D199" s="482" t="s">
        <v>884</v>
      </c>
      <c r="E199" s="473">
        <f>0.95+0.15</f>
        <v>1.0999999999999999</v>
      </c>
      <c r="F199" s="462">
        <v>3.98</v>
      </c>
      <c r="G199" s="463">
        <v>9.5</v>
      </c>
      <c r="H199" s="455">
        <f t="shared" si="51"/>
        <v>37.81</v>
      </c>
      <c r="I199" s="464">
        <v>0</v>
      </c>
      <c r="J199" s="464">
        <v>2.8</v>
      </c>
      <c r="K199" s="102">
        <f t="shared" si="29"/>
        <v>40.61</v>
      </c>
      <c r="L199" s="50">
        <f t="shared" si="30"/>
        <v>4.38</v>
      </c>
      <c r="M199" s="102">
        <f t="shared" si="31"/>
        <v>41.59</v>
      </c>
      <c r="N199" s="102">
        <f t="shared" si="32"/>
        <v>0</v>
      </c>
      <c r="O199" s="102">
        <f t="shared" si="33"/>
        <v>3.08</v>
      </c>
      <c r="P199" s="103">
        <f t="shared" si="34"/>
        <v>44.67</v>
      </c>
    </row>
    <row r="200" spans="1:16" s="400" customFormat="1" ht="15.05">
      <c r="A200" s="481">
        <v>0</v>
      </c>
      <c r="B200" s="482"/>
      <c r="C200" s="483" t="s">
        <v>1464</v>
      </c>
      <c r="D200" s="482" t="s">
        <v>884</v>
      </c>
      <c r="E200" s="473">
        <f>E199*1.05</f>
        <v>1.1549999999999998</v>
      </c>
      <c r="F200" s="462"/>
      <c r="G200" s="463"/>
      <c r="H200" s="455">
        <f t="shared" si="51"/>
        <v>0</v>
      </c>
      <c r="I200" s="464">
        <v>73</v>
      </c>
      <c r="J200" s="464"/>
      <c r="K200" s="102">
        <f t="shared" si="29"/>
        <v>73</v>
      </c>
      <c r="L200" s="50">
        <f t="shared" si="30"/>
        <v>0</v>
      </c>
      <c r="M200" s="102">
        <f t="shared" si="31"/>
        <v>0</v>
      </c>
      <c r="N200" s="102">
        <f t="shared" si="32"/>
        <v>84.32</v>
      </c>
      <c r="O200" s="102">
        <f t="shared" si="33"/>
        <v>0</v>
      </c>
      <c r="P200" s="103">
        <f t="shared" si="34"/>
        <v>84.32</v>
      </c>
    </row>
    <row r="201" spans="1:16" s="400" customFormat="1" ht="15.05">
      <c r="A201" s="481">
        <v>0</v>
      </c>
      <c r="B201" s="482"/>
      <c r="C201" s="483" t="s">
        <v>1116</v>
      </c>
      <c r="D201" s="482" t="s">
        <v>1117</v>
      </c>
      <c r="E201" s="473">
        <f>E199*0.25</f>
        <v>0.27499999999999997</v>
      </c>
      <c r="F201" s="462"/>
      <c r="G201" s="463"/>
      <c r="H201" s="455">
        <f t="shared" si="51"/>
        <v>0</v>
      </c>
      <c r="I201" s="464">
        <v>0</v>
      </c>
      <c r="J201" s="464">
        <v>80</v>
      </c>
      <c r="K201" s="102">
        <f t="shared" si="29"/>
        <v>80</v>
      </c>
      <c r="L201" s="50">
        <f t="shared" si="30"/>
        <v>0</v>
      </c>
      <c r="M201" s="102">
        <f t="shared" si="31"/>
        <v>0</v>
      </c>
      <c r="N201" s="102">
        <f t="shared" si="32"/>
        <v>0</v>
      </c>
      <c r="O201" s="102">
        <f t="shared" si="33"/>
        <v>22</v>
      </c>
      <c r="P201" s="103">
        <f t="shared" si="34"/>
        <v>22</v>
      </c>
    </row>
    <row r="202" spans="1:16" s="400" customFormat="1" ht="15.05">
      <c r="A202" s="481">
        <v>88</v>
      </c>
      <c r="B202" s="482"/>
      <c r="C202" s="483" t="s">
        <v>1126</v>
      </c>
      <c r="D202" s="482" t="s">
        <v>29</v>
      </c>
      <c r="E202" s="473">
        <v>0.3</v>
      </c>
      <c r="F202" s="462">
        <v>0.26</v>
      </c>
      <c r="G202" s="463">
        <v>9.5</v>
      </c>
      <c r="H202" s="455">
        <f t="shared" si="51"/>
        <v>2.4700000000000002</v>
      </c>
      <c r="I202" s="464">
        <v>2.4</v>
      </c>
      <c r="J202" s="464">
        <v>0.1</v>
      </c>
      <c r="K202" s="102">
        <f t="shared" si="29"/>
        <v>4.97</v>
      </c>
      <c r="L202" s="50">
        <f t="shared" si="30"/>
        <v>0.08</v>
      </c>
      <c r="M202" s="102">
        <f t="shared" si="31"/>
        <v>0.74</v>
      </c>
      <c r="N202" s="102">
        <f t="shared" si="32"/>
        <v>0.72</v>
      </c>
      <c r="O202" s="102">
        <f t="shared" si="33"/>
        <v>0.03</v>
      </c>
      <c r="P202" s="103">
        <f t="shared" si="34"/>
        <v>1.49</v>
      </c>
    </row>
    <row r="203" spans="1:16" s="400" customFormat="1" ht="15.05">
      <c r="A203" s="481">
        <v>89</v>
      </c>
      <c r="B203" s="482"/>
      <c r="C203" s="631" t="s">
        <v>1473</v>
      </c>
      <c r="D203" s="482" t="s">
        <v>1110</v>
      </c>
      <c r="E203" s="473">
        <v>6</v>
      </c>
      <c r="F203" s="462">
        <v>0.57999999999999996</v>
      </c>
      <c r="G203" s="463">
        <v>9.5</v>
      </c>
      <c r="H203" s="455">
        <f t="shared" si="51"/>
        <v>5.51</v>
      </c>
      <c r="I203" s="464">
        <v>16</v>
      </c>
      <c r="J203" s="464">
        <v>1</v>
      </c>
      <c r="K203" s="102">
        <f t="shared" si="29"/>
        <v>22.509999999999998</v>
      </c>
      <c r="L203" s="50">
        <f t="shared" si="30"/>
        <v>3.48</v>
      </c>
      <c r="M203" s="102">
        <f t="shared" si="31"/>
        <v>33.06</v>
      </c>
      <c r="N203" s="102">
        <f t="shared" si="32"/>
        <v>96</v>
      </c>
      <c r="O203" s="102">
        <f t="shared" si="33"/>
        <v>6</v>
      </c>
      <c r="P203" s="103">
        <f t="shared" si="34"/>
        <v>135.06</v>
      </c>
    </row>
    <row r="204" spans="1:16" s="400" customFormat="1" ht="15.05">
      <c r="A204" s="815">
        <v>0</v>
      </c>
      <c r="B204" s="674"/>
      <c r="C204" s="816" t="s">
        <v>1746</v>
      </c>
      <c r="D204" s="674"/>
      <c r="E204" s="674"/>
      <c r="F204" s="462"/>
      <c r="G204" s="463"/>
      <c r="H204" s="455">
        <f t="shared" ref="H204:H213" si="52">ROUND(F204*G204,2)</f>
        <v>0</v>
      </c>
      <c r="I204" s="464"/>
      <c r="J204" s="464"/>
      <c r="K204" s="102">
        <f t="shared" ref="K204:K213" si="53">SUM(H204:J204)</f>
        <v>0</v>
      </c>
      <c r="L204" s="50">
        <f t="shared" ref="L204:L213" si="54">ROUND(F204*E204,2)</f>
        <v>0</v>
      </c>
      <c r="M204" s="102">
        <f t="shared" ref="M204:M213" si="55">ROUND(H204*E204,2)</f>
        <v>0</v>
      </c>
      <c r="N204" s="102">
        <f t="shared" ref="N204:N213" si="56">ROUND(I204*E204,2)</f>
        <v>0</v>
      </c>
      <c r="O204" s="102">
        <f t="shared" ref="O204:O213" si="57">ROUND(J204*E204,2)</f>
        <v>0</v>
      </c>
      <c r="P204" s="103">
        <f t="shared" ref="P204:P213" si="58">SUM(M204:O204)</f>
        <v>0</v>
      </c>
    </row>
    <row r="205" spans="1:16" s="400" customFormat="1" ht="15.05">
      <c r="A205" s="815">
        <v>90</v>
      </c>
      <c r="B205" s="674"/>
      <c r="C205" s="817" t="s">
        <v>1744</v>
      </c>
      <c r="D205" s="674" t="s">
        <v>884</v>
      </c>
      <c r="E205" s="674">
        <v>18</v>
      </c>
      <c r="F205" s="462">
        <v>0.6</v>
      </c>
      <c r="G205" s="463">
        <v>9.5</v>
      </c>
      <c r="H205" s="455">
        <f t="shared" ref="H205" si="59">ROUND(F205*G205,2)</f>
        <v>5.7</v>
      </c>
      <c r="I205" s="464">
        <v>7.5</v>
      </c>
      <c r="J205" s="464">
        <v>1.3</v>
      </c>
      <c r="K205" s="102">
        <f t="shared" ref="K205" si="60">SUM(H205:J205)</f>
        <v>14.5</v>
      </c>
      <c r="L205" s="50">
        <f t="shared" ref="L205" si="61">ROUND(F205*E205,2)</f>
        <v>10.8</v>
      </c>
      <c r="M205" s="102">
        <f t="shared" ref="M205" si="62">ROUND(H205*E205,2)</f>
        <v>102.6</v>
      </c>
      <c r="N205" s="102">
        <f t="shared" ref="N205" si="63">ROUND(I205*E205,2)</f>
        <v>135</v>
      </c>
      <c r="O205" s="102">
        <f t="shared" ref="O205" si="64">ROUND(J205*E205,2)</f>
        <v>23.4</v>
      </c>
      <c r="P205" s="103">
        <f t="shared" ref="P205" si="65">SUM(M205:O205)</f>
        <v>261</v>
      </c>
    </row>
    <row r="206" spans="1:16" s="400" customFormat="1" ht="15.05">
      <c r="A206" s="815">
        <v>91</v>
      </c>
      <c r="B206" s="674"/>
      <c r="C206" s="817" t="s">
        <v>1471</v>
      </c>
      <c r="D206" s="674" t="s">
        <v>884</v>
      </c>
      <c r="E206" s="674">
        <v>7</v>
      </c>
      <c r="F206" s="462">
        <v>1</v>
      </c>
      <c r="G206" s="463">
        <v>9.5</v>
      </c>
      <c r="H206" s="455">
        <f t="shared" si="52"/>
        <v>9.5</v>
      </c>
      <c r="I206" s="464">
        <v>22.8</v>
      </c>
      <c r="J206" s="464">
        <v>1.5</v>
      </c>
      <c r="K206" s="102">
        <f t="shared" si="53"/>
        <v>33.799999999999997</v>
      </c>
      <c r="L206" s="50">
        <f t="shared" si="54"/>
        <v>7</v>
      </c>
      <c r="M206" s="102">
        <f t="shared" si="55"/>
        <v>66.5</v>
      </c>
      <c r="N206" s="102">
        <f t="shared" si="56"/>
        <v>159.6</v>
      </c>
      <c r="O206" s="102">
        <f t="shared" si="57"/>
        <v>10.5</v>
      </c>
      <c r="P206" s="103">
        <f t="shared" si="58"/>
        <v>236.6</v>
      </c>
    </row>
    <row r="207" spans="1:16" s="400" customFormat="1" ht="30.15">
      <c r="A207" s="815">
        <v>92</v>
      </c>
      <c r="B207" s="674"/>
      <c r="C207" s="818" t="s">
        <v>1118</v>
      </c>
      <c r="D207" s="674" t="s">
        <v>29</v>
      </c>
      <c r="E207" s="674">
        <v>24</v>
      </c>
      <c r="F207" s="462">
        <v>0.65</v>
      </c>
      <c r="G207" s="463">
        <v>9.5</v>
      </c>
      <c r="H207" s="455">
        <f t="shared" si="52"/>
        <v>6.18</v>
      </c>
      <c r="I207" s="464">
        <v>0.68</v>
      </c>
      <c r="J207" s="464">
        <v>8.5</v>
      </c>
      <c r="K207" s="102">
        <f t="shared" si="53"/>
        <v>15.36</v>
      </c>
      <c r="L207" s="50">
        <f t="shared" si="54"/>
        <v>15.6</v>
      </c>
      <c r="M207" s="102">
        <f t="shared" si="55"/>
        <v>148.32</v>
      </c>
      <c r="N207" s="102">
        <f t="shared" si="56"/>
        <v>16.32</v>
      </c>
      <c r="O207" s="102">
        <f t="shared" si="57"/>
        <v>204</v>
      </c>
      <c r="P207" s="103">
        <f t="shared" si="58"/>
        <v>368.64</v>
      </c>
    </row>
    <row r="208" spans="1:16" s="400" customFormat="1" ht="30.15">
      <c r="A208" s="815">
        <v>93</v>
      </c>
      <c r="B208" s="674"/>
      <c r="C208" s="818" t="s">
        <v>1119</v>
      </c>
      <c r="D208" s="674" t="s">
        <v>1120</v>
      </c>
      <c r="E208" s="674">
        <v>1.1399999999999999</v>
      </c>
      <c r="F208" s="462">
        <v>28.42</v>
      </c>
      <c r="G208" s="463">
        <v>9.5</v>
      </c>
      <c r="H208" s="455">
        <f t="shared" si="52"/>
        <v>269.99</v>
      </c>
      <c r="I208" s="464">
        <v>0</v>
      </c>
      <c r="J208" s="464">
        <v>40</v>
      </c>
      <c r="K208" s="102">
        <f t="shared" si="53"/>
        <v>309.99</v>
      </c>
      <c r="L208" s="50">
        <f t="shared" si="54"/>
        <v>32.4</v>
      </c>
      <c r="M208" s="102">
        <f t="shared" si="55"/>
        <v>307.79000000000002</v>
      </c>
      <c r="N208" s="102">
        <f t="shared" si="56"/>
        <v>0</v>
      </c>
      <c r="O208" s="102">
        <f t="shared" si="57"/>
        <v>45.6</v>
      </c>
      <c r="P208" s="103">
        <f t="shared" si="58"/>
        <v>353.39000000000004</v>
      </c>
    </row>
    <row r="209" spans="1:16" s="400" customFormat="1" ht="15.05">
      <c r="A209" s="815">
        <v>0</v>
      </c>
      <c r="B209" s="674"/>
      <c r="C209" s="818" t="s">
        <v>1121</v>
      </c>
      <c r="D209" s="674" t="s">
        <v>1120</v>
      </c>
      <c r="E209" s="674">
        <f>E208*1.15</f>
        <v>1.3109999999999997</v>
      </c>
      <c r="F209" s="462"/>
      <c r="G209" s="463"/>
      <c r="H209" s="455">
        <f t="shared" si="52"/>
        <v>0</v>
      </c>
      <c r="I209" s="464">
        <v>640</v>
      </c>
      <c r="J209" s="464"/>
      <c r="K209" s="102">
        <f t="shared" si="53"/>
        <v>640</v>
      </c>
      <c r="L209" s="50">
        <f t="shared" si="54"/>
        <v>0</v>
      </c>
      <c r="M209" s="102">
        <f t="shared" si="55"/>
        <v>0</v>
      </c>
      <c r="N209" s="102">
        <f t="shared" si="56"/>
        <v>839.04</v>
      </c>
      <c r="O209" s="102">
        <f t="shared" si="57"/>
        <v>0</v>
      </c>
      <c r="P209" s="103">
        <f t="shared" si="58"/>
        <v>839.04</v>
      </c>
    </row>
    <row r="210" spans="1:16" s="400" customFormat="1" ht="30.15">
      <c r="A210" s="815">
        <v>0</v>
      </c>
      <c r="B210" s="674"/>
      <c r="C210" s="818" t="s">
        <v>1122</v>
      </c>
      <c r="D210" s="674" t="s">
        <v>136</v>
      </c>
      <c r="E210" s="674">
        <v>1</v>
      </c>
      <c r="F210" s="462"/>
      <c r="G210" s="463"/>
      <c r="H210" s="455">
        <f t="shared" si="52"/>
        <v>0</v>
      </c>
      <c r="I210" s="464">
        <f>90*E208</f>
        <v>102.6</v>
      </c>
      <c r="J210" s="464"/>
      <c r="K210" s="102">
        <f t="shared" si="53"/>
        <v>102.6</v>
      </c>
      <c r="L210" s="50">
        <f t="shared" si="54"/>
        <v>0</v>
      </c>
      <c r="M210" s="102">
        <f t="shared" si="55"/>
        <v>0</v>
      </c>
      <c r="N210" s="102">
        <f t="shared" si="56"/>
        <v>102.6</v>
      </c>
      <c r="O210" s="102">
        <f t="shared" si="57"/>
        <v>0</v>
      </c>
      <c r="P210" s="103">
        <f t="shared" si="58"/>
        <v>102.6</v>
      </c>
    </row>
    <row r="211" spans="1:16" s="400" customFormat="1" ht="15.05">
      <c r="A211" s="815">
        <v>94</v>
      </c>
      <c r="B211" s="674"/>
      <c r="C211" s="818" t="s">
        <v>1745</v>
      </c>
      <c r="D211" s="674" t="s">
        <v>884</v>
      </c>
      <c r="E211" s="674">
        <v>8.1</v>
      </c>
      <c r="F211" s="462">
        <v>3.98</v>
      </c>
      <c r="G211" s="463">
        <v>9.5</v>
      </c>
      <c r="H211" s="455">
        <f t="shared" si="52"/>
        <v>37.81</v>
      </c>
      <c r="I211" s="464">
        <v>0</v>
      </c>
      <c r="J211" s="464">
        <v>2.8</v>
      </c>
      <c r="K211" s="102">
        <f t="shared" si="53"/>
        <v>40.61</v>
      </c>
      <c r="L211" s="50">
        <f t="shared" si="54"/>
        <v>32.24</v>
      </c>
      <c r="M211" s="102">
        <f t="shared" si="55"/>
        <v>306.26</v>
      </c>
      <c r="N211" s="102">
        <f t="shared" si="56"/>
        <v>0</v>
      </c>
      <c r="O211" s="102">
        <f t="shared" si="57"/>
        <v>22.68</v>
      </c>
      <c r="P211" s="103">
        <f t="shared" si="58"/>
        <v>328.94</v>
      </c>
    </row>
    <row r="212" spans="1:16" s="400" customFormat="1" ht="15.05">
      <c r="A212" s="815">
        <v>0</v>
      </c>
      <c r="B212" s="674"/>
      <c r="C212" s="818" t="s">
        <v>1748</v>
      </c>
      <c r="D212" s="674" t="s">
        <v>884</v>
      </c>
      <c r="E212" s="674">
        <f>E211*1.05</f>
        <v>8.5050000000000008</v>
      </c>
      <c r="F212" s="462"/>
      <c r="G212" s="463"/>
      <c r="H212" s="455">
        <f t="shared" si="52"/>
        <v>0</v>
      </c>
      <c r="I212" s="464">
        <v>69</v>
      </c>
      <c r="J212" s="464"/>
      <c r="K212" s="102">
        <f t="shared" si="53"/>
        <v>69</v>
      </c>
      <c r="L212" s="50">
        <f t="shared" si="54"/>
        <v>0</v>
      </c>
      <c r="M212" s="102">
        <f t="shared" si="55"/>
        <v>0</v>
      </c>
      <c r="N212" s="102">
        <f t="shared" si="56"/>
        <v>586.85</v>
      </c>
      <c r="O212" s="102">
        <f t="shared" si="57"/>
        <v>0</v>
      </c>
      <c r="P212" s="103">
        <f t="shared" si="58"/>
        <v>586.85</v>
      </c>
    </row>
    <row r="213" spans="1:16" s="400" customFormat="1" ht="15.05">
      <c r="A213" s="815">
        <v>0</v>
      </c>
      <c r="B213" s="674"/>
      <c r="C213" s="818" t="s">
        <v>1116</v>
      </c>
      <c r="D213" s="674" t="s">
        <v>1117</v>
      </c>
      <c r="E213" s="674">
        <f>E211*0.25</f>
        <v>2.0249999999999999</v>
      </c>
      <c r="F213" s="462"/>
      <c r="G213" s="463"/>
      <c r="H213" s="455">
        <f t="shared" si="52"/>
        <v>0</v>
      </c>
      <c r="I213" s="464">
        <v>0</v>
      </c>
      <c r="J213" s="464">
        <v>80</v>
      </c>
      <c r="K213" s="102">
        <f t="shared" si="53"/>
        <v>80</v>
      </c>
      <c r="L213" s="50">
        <f t="shared" si="54"/>
        <v>0</v>
      </c>
      <c r="M213" s="102">
        <f t="shared" si="55"/>
        <v>0</v>
      </c>
      <c r="N213" s="102">
        <f t="shared" si="56"/>
        <v>0</v>
      </c>
      <c r="O213" s="102">
        <f t="shared" si="57"/>
        <v>162</v>
      </c>
      <c r="P213" s="103">
        <f t="shared" si="58"/>
        <v>162</v>
      </c>
    </row>
    <row r="214" spans="1:16" s="400" customFormat="1" ht="30.15">
      <c r="A214" s="815">
        <v>0</v>
      </c>
      <c r="B214" s="674"/>
      <c r="C214" s="816" t="s">
        <v>1747</v>
      </c>
      <c r="D214" s="674"/>
      <c r="E214" s="674"/>
      <c r="F214" s="462"/>
      <c r="G214" s="463"/>
      <c r="H214" s="455">
        <f t="shared" ref="H214:H223" si="66">ROUND(F214*G214,2)</f>
        <v>0</v>
      </c>
      <c r="I214" s="464"/>
      <c r="J214" s="464"/>
      <c r="K214" s="102">
        <f t="shared" ref="K214:K223" si="67">SUM(H214:J214)</f>
        <v>0</v>
      </c>
      <c r="L214" s="50">
        <f t="shared" ref="L214:L223" si="68">ROUND(F214*E214,2)</f>
        <v>0</v>
      </c>
      <c r="M214" s="102">
        <f t="shared" ref="M214:M223" si="69">ROUND(H214*E214,2)</f>
        <v>0</v>
      </c>
      <c r="N214" s="102">
        <f t="shared" ref="N214:N223" si="70">ROUND(I214*E214,2)</f>
        <v>0</v>
      </c>
      <c r="O214" s="102">
        <f t="shared" ref="O214:O223" si="71">ROUND(J214*E214,2)</f>
        <v>0</v>
      </c>
      <c r="P214" s="103">
        <f t="shared" ref="P214:P223" si="72">SUM(M214:O214)</f>
        <v>0</v>
      </c>
    </row>
    <row r="215" spans="1:16" s="400" customFormat="1" ht="15.05">
      <c r="A215" s="815">
        <v>95</v>
      </c>
      <c r="B215" s="674"/>
      <c r="C215" s="817" t="s">
        <v>1744</v>
      </c>
      <c r="D215" s="674" t="s">
        <v>884</v>
      </c>
      <c r="E215" s="674">
        <v>12.5</v>
      </c>
      <c r="F215" s="462">
        <v>0.6</v>
      </c>
      <c r="G215" s="463">
        <v>9.5</v>
      </c>
      <c r="H215" s="455">
        <f t="shared" si="66"/>
        <v>5.7</v>
      </c>
      <c r="I215" s="464">
        <v>7.5</v>
      </c>
      <c r="J215" s="464">
        <v>1.3</v>
      </c>
      <c r="K215" s="102">
        <f t="shared" si="67"/>
        <v>14.5</v>
      </c>
      <c r="L215" s="50">
        <f t="shared" si="68"/>
        <v>7.5</v>
      </c>
      <c r="M215" s="102">
        <f t="shared" si="69"/>
        <v>71.25</v>
      </c>
      <c r="N215" s="102">
        <f t="shared" si="70"/>
        <v>93.75</v>
      </c>
      <c r="O215" s="102">
        <f t="shared" si="71"/>
        <v>16.25</v>
      </c>
      <c r="P215" s="103">
        <f t="shared" si="72"/>
        <v>181.25</v>
      </c>
    </row>
    <row r="216" spans="1:16" s="400" customFormat="1" ht="15.05">
      <c r="A216" s="815">
        <v>96</v>
      </c>
      <c r="B216" s="674"/>
      <c r="C216" s="817" t="s">
        <v>1471</v>
      </c>
      <c r="D216" s="674" t="s">
        <v>884</v>
      </c>
      <c r="E216" s="674">
        <v>5</v>
      </c>
      <c r="F216" s="462">
        <v>1</v>
      </c>
      <c r="G216" s="463">
        <v>9.5</v>
      </c>
      <c r="H216" s="455">
        <f t="shared" si="66"/>
        <v>9.5</v>
      </c>
      <c r="I216" s="464">
        <v>22.8</v>
      </c>
      <c r="J216" s="464">
        <v>1.5</v>
      </c>
      <c r="K216" s="102">
        <f t="shared" si="67"/>
        <v>33.799999999999997</v>
      </c>
      <c r="L216" s="50">
        <f t="shared" si="68"/>
        <v>5</v>
      </c>
      <c r="M216" s="102">
        <f t="shared" si="69"/>
        <v>47.5</v>
      </c>
      <c r="N216" s="102">
        <f t="shared" si="70"/>
        <v>114</v>
      </c>
      <c r="O216" s="102">
        <f t="shared" si="71"/>
        <v>7.5</v>
      </c>
      <c r="P216" s="103">
        <f t="shared" si="72"/>
        <v>169</v>
      </c>
    </row>
    <row r="217" spans="1:16" s="400" customFormat="1" ht="30.15">
      <c r="A217" s="815">
        <v>97</v>
      </c>
      <c r="B217" s="674"/>
      <c r="C217" s="818" t="s">
        <v>1118</v>
      </c>
      <c r="D217" s="674" t="s">
        <v>29</v>
      </c>
      <c r="E217" s="674">
        <v>24</v>
      </c>
      <c r="F217" s="462">
        <v>0.65</v>
      </c>
      <c r="G217" s="463">
        <v>9.5</v>
      </c>
      <c r="H217" s="455">
        <f t="shared" si="66"/>
        <v>6.18</v>
      </c>
      <c r="I217" s="464">
        <v>0.68</v>
      </c>
      <c r="J217" s="464">
        <v>8.5</v>
      </c>
      <c r="K217" s="102">
        <f t="shared" si="67"/>
        <v>15.36</v>
      </c>
      <c r="L217" s="50">
        <f t="shared" si="68"/>
        <v>15.6</v>
      </c>
      <c r="M217" s="102">
        <f t="shared" si="69"/>
        <v>148.32</v>
      </c>
      <c r="N217" s="102">
        <f t="shared" si="70"/>
        <v>16.32</v>
      </c>
      <c r="O217" s="102">
        <f t="shared" si="71"/>
        <v>204</v>
      </c>
      <c r="P217" s="103">
        <f t="shared" si="72"/>
        <v>368.64</v>
      </c>
    </row>
    <row r="218" spans="1:16" s="400" customFormat="1" ht="30.15">
      <c r="A218" s="815">
        <v>98</v>
      </c>
      <c r="B218" s="674"/>
      <c r="C218" s="818" t="s">
        <v>1119</v>
      </c>
      <c r="D218" s="674" t="s">
        <v>1120</v>
      </c>
      <c r="E218" s="674">
        <v>0.88</v>
      </c>
      <c r="F218" s="462">
        <v>28.42</v>
      </c>
      <c r="G218" s="463">
        <v>9.5</v>
      </c>
      <c r="H218" s="455">
        <f t="shared" si="66"/>
        <v>269.99</v>
      </c>
      <c r="I218" s="464">
        <v>0</v>
      </c>
      <c r="J218" s="464">
        <v>40</v>
      </c>
      <c r="K218" s="102">
        <f t="shared" si="67"/>
        <v>309.99</v>
      </c>
      <c r="L218" s="50">
        <f t="shared" si="68"/>
        <v>25.01</v>
      </c>
      <c r="M218" s="102">
        <f t="shared" si="69"/>
        <v>237.59</v>
      </c>
      <c r="N218" s="102">
        <f t="shared" si="70"/>
        <v>0</v>
      </c>
      <c r="O218" s="102">
        <f t="shared" si="71"/>
        <v>35.200000000000003</v>
      </c>
      <c r="P218" s="103">
        <f t="shared" si="72"/>
        <v>272.79000000000002</v>
      </c>
    </row>
    <row r="219" spans="1:16" s="400" customFormat="1" ht="15.05">
      <c r="A219" s="815">
        <v>0</v>
      </c>
      <c r="B219" s="674"/>
      <c r="C219" s="818" t="s">
        <v>1121</v>
      </c>
      <c r="D219" s="674" t="s">
        <v>1120</v>
      </c>
      <c r="E219" s="674">
        <f>E218*1.15</f>
        <v>1.012</v>
      </c>
      <c r="F219" s="462"/>
      <c r="G219" s="463"/>
      <c r="H219" s="455">
        <f t="shared" si="66"/>
        <v>0</v>
      </c>
      <c r="I219" s="464">
        <v>640</v>
      </c>
      <c r="J219" s="464"/>
      <c r="K219" s="102">
        <f t="shared" si="67"/>
        <v>640</v>
      </c>
      <c r="L219" s="50">
        <f t="shared" si="68"/>
        <v>0</v>
      </c>
      <c r="M219" s="102">
        <f t="shared" si="69"/>
        <v>0</v>
      </c>
      <c r="N219" s="102">
        <f t="shared" si="70"/>
        <v>647.67999999999995</v>
      </c>
      <c r="O219" s="102">
        <f t="shared" si="71"/>
        <v>0</v>
      </c>
      <c r="P219" s="103">
        <f t="shared" si="72"/>
        <v>647.67999999999995</v>
      </c>
    </row>
    <row r="220" spans="1:16" s="400" customFormat="1" ht="30.15">
      <c r="A220" s="815">
        <v>0</v>
      </c>
      <c r="B220" s="674"/>
      <c r="C220" s="818" t="s">
        <v>1122</v>
      </c>
      <c r="D220" s="674" t="s">
        <v>136</v>
      </c>
      <c r="E220" s="674">
        <v>1</v>
      </c>
      <c r="F220" s="462"/>
      <c r="G220" s="463"/>
      <c r="H220" s="455">
        <f t="shared" si="66"/>
        <v>0</v>
      </c>
      <c r="I220" s="464">
        <f>90*E218</f>
        <v>79.2</v>
      </c>
      <c r="J220" s="464"/>
      <c r="K220" s="102">
        <f t="shared" si="67"/>
        <v>79.2</v>
      </c>
      <c r="L220" s="50">
        <f t="shared" si="68"/>
        <v>0</v>
      </c>
      <c r="M220" s="102">
        <f t="shared" si="69"/>
        <v>0</v>
      </c>
      <c r="N220" s="102">
        <f t="shared" si="70"/>
        <v>79.2</v>
      </c>
      <c r="O220" s="102">
        <f t="shared" si="71"/>
        <v>0</v>
      </c>
      <c r="P220" s="103">
        <f t="shared" si="72"/>
        <v>79.2</v>
      </c>
    </row>
    <row r="221" spans="1:16" s="400" customFormat="1" ht="15.05">
      <c r="A221" s="815">
        <v>99</v>
      </c>
      <c r="B221" s="674"/>
      <c r="C221" s="818" t="s">
        <v>1745</v>
      </c>
      <c r="D221" s="674" t="s">
        <v>884</v>
      </c>
      <c r="E221" s="674">
        <v>6.1</v>
      </c>
      <c r="F221" s="462">
        <v>3.98</v>
      </c>
      <c r="G221" s="463">
        <v>9.5</v>
      </c>
      <c r="H221" s="455">
        <f t="shared" si="66"/>
        <v>37.81</v>
      </c>
      <c r="I221" s="464">
        <v>0</v>
      </c>
      <c r="J221" s="464">
        <v>2.8</v>
      </c>
      <c r="K221" s="102">
        <f t="shared" si="67"/>
        <v>40.61</v>
      </c>
      <c r="L221" s="50">
        <f t="shared" si="68"/>
        <v>24.28</v>
      </c>
      <c r="M221" s="102">
        <f t="shared" si="69"/>
        <v>230.64</v>
      </c>
      <c r="N221" s="102">
        <f t="shared" si="70"/>
        <v>0</v>
      </c>
      <c r="O221" s="102">
        <f t="shared" si="71"/>
        <v>17.079999999999998</v>
      </c>
      <c r="P221" s="103">
        <f t="shared" si="72"/>
        <v>247.71999999999997</v>
      </c>
    </row>
    <row r="222" spans="1:16" s="400" customFormat="1" ht="15.05">
      <c r="A222" s="815">
        <v>0</v>
      </c>
      <c r="B222" s="674"/>
      <c r="C222" s="818" t="s">
        <v>1748</v>
      </c>
      <c r="D222" s="674" t="s">
        <v>884</v>
      </c>
      <c r="E222" s="674">
        <f>E221*1.05</f>
        <v>6.4050000000000002</v>
      </c>
      <c r="F222" s="462"/>
      <c r="G222" s="463"/>
      <c r="H222" s="455">
        <f t="shared" si="66"/>
        <v>0</v>
      </c>
      <c r="I222" s="464">
        <v>69</v>
      </c>
      <c r="J222" s="464"/>
      <c r="K222" s="102">
        <f t="shared" si="67"/>
        <v>69</v>
      </c>
      <c r="L222" s="50">
        <f t="shared" si="68"/>
        <v>0</v>
      </c>
      <c r="M222" s="102">
        <f t="shared" si="69"/>
        <v>0</v>
      </c>
      <c r="N222" s="102">
        <f t="shared" si="70"/>
        <v>441.95</v>
      </c>
      <c r="O222" s="102">
        <f t="shared" si="71"/>
        <v>0</v>
      </c>
      <c r="P222" s="103">
        <f t="shared" si="72"/>
        <v>441.95</v>
      </c>
    </row>
    <row r="223" spans="1:16" s="400" customFormat="1" ht="15.05">
      <c r="A223" s="815">
        <v>0</v>
      </c>
      <c r="B223" s="674"/>
      <c r="C223" s="818" t="s">
        <v>1116</v>
      </c>
      <c r="D223" s="674" t="s">
        <v>1117</v>
      </c>
      <c r="E223" s="674">
        <f>E221*0.25</f>
        <v>1.5249999999999999</v>
      </c>
      <c r="F223" s="462"/>
      <c r="G223" s="463"/>
      <c r="H223" s="455">
        <f t="shared" si="66"/>
        <v>0</v>
      </c>
      <c r="I223" s="464">
        <v>0</v>
      </c>
      <c r="J223" s="464">
        <v>80</v>
      </c>
      <c r="K223" s="102">
        <f t="shared" si="67"/>
        <v>80</v>
      </c>
      <c r="L223" s="50">
        <f t="shared" si="68"/>
        <v>0</v>
      </c>
      <c r="M223" s="102">
        <f t="shared" si="69"/>
        <v>0</v>
      </c>
      <c r="N223" s="102">
        <f t="shared" si="70"/>
        <v>0</v>
      </c>
      <c r="O223" s="102">
        <f t="shared" si="71"/>
        <v>122</v>
      </c>
      <c r="P223" s="103">
        <f t="shared" si="72"/>
        <v>122</v>
      </c>
    </row>
    <row r="224" spans="1:16" s="56" customFormat="1" ht="15.05">
      <c r="A224" s="167"/>
      <c r="B224" s="168"/>
      <c r="C224" s="169"/>
      <c r="D224" s="170"/>
      <c r="E224" s="171"/>
      <c r="F224" s="60"/>
      <c r="G224" s="60"/>
      <c r="H224" s="58"/>
      <c r="I224" s="58"/>
      <c r="J224" s="58"/>
      <c r="K224" s="172"/>
      <c r="L224" s="173"/>
      <c r="M224" s="172"/>
      <c r="N224" s="172"/>
      <c r="O224" s="172"/>
      <c r="P224" s="174"/>
    </row>
    <row r="225" spans="1:16" ht="15.05" customHeight="1">
      <c r="A225" s="41"/>
      <c r="B225" s="41"/>
      <c r="C225" s="932" t="s">
        <v>98</v>
      </c>
      <c r="D225" s="933"/>
      <c r="E225" s="933"/>
      <c r="F225" s="933"/>
      <c r="G225" s="933"/>
      <c r="H225" s="933"/>
      <c r="I225" s="933"/>
      <c r="J225" s="933"/>
      <c r="K225" s="933"/>
      <c r="L225" s="42">
        <f>SUM(L13:L224)</f>
        <v>8108.6400000000031</v>
      </c>
      <c r="M225" s="42">
        <f>SUM(M13:M224)</f>
        <v>77041.720000000016</v>
      </c>
      <c r="N225" s="42">
        <f>SUM(N13:N224)</f>
        <v>115839.36000000006</v>
      </c>
      <c r="O225" s="42">
        <f>SUM(O13:O224)</f>
        <v>66865.73</v>
      </c>
      <c r="P225" s="42">
        <f>SUM(P13:P224)</f>
        <v>259746.8100000002</v>
      </c>
    </row>
    <row r="226" spans="1:16" s="125" customFormat="1">
      <c r="I226" s="146"/>
    </row>
    <row r="227" spans="1:16" s="122" customFormat="1" ht="12.8" customHeight="1">
      <c r="B227" s="147" t="str">
        <f>'1,1'!B26</f>
        <v>Piezīmes:</v>
      </c>
    </row>
    <row r="228" spans="1:16" s="122" customFormat="1" ht="45" customHeight="1">
      <c r="A228"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28" s="926"/>
      <c r="C228" s="926"/>
      <c r="D228" s="926"/>
      <c r="E228" s="926"/>
      <c r="F228" s="926"/>
      <c r="G228" s="926"/>
      <c r="H228" s="926"/>
      <c r="I228" s="926"/>
      <c r="J228" s="926"/>
      <c r="K228" s="926"/>
      <c r="L228" s="926"/>
      <c r="M228" s="926"/>
      <c r="N228" s="926"/>
      <c r="O228" s="926"/>
      <c r="P228" s="926"/>
    </row>
    <row r="229" spans="1:16" s="122" customFormat="1" ht="79.55" customHeight="1">
      <c r="A229" s="925"/>
      <c r="B229" s="925"/>
      <c r="C229" s="925"/>
      <c r="D229" s="925"/>
      <c r="E229" s="925"/>
      <c r="F229" s="925"/>
      <c r="G229" s="925"/>
      <c r="H229" s="925"/>
      <c r="I229" s="925"/>
      <c r="J229" s="925"/>
      <c r="K229" s="925"/>
      <c r="L229" s="925"/>
      <c r="M229" s="925"/>
      <c r="N229" s="925"/>
      <c r="O229" s="925"/>
      <c r="P229" s="925"/>
    </row>
    <row r="230" spans="1:16" s="122" customFormat="1" ht="12.8" customHeight="1">
      <c r="B230" s="148"/>
    </row>
    <row r="231" spans="1:16" s="122" customFormat="1" ht="12.8" customHeight="1">
      <c r="B231" s="148"/>
    </row>
    <row r="232" spans="1:16" s="125" customFormat="1">
      <c r="B232" s="125" t="s">
        <v>8</v>
      </c>
      <c r="L232" s="157" t="str">
        <f>Koptame!B39</f>
        <v>Pārbaudīja:</v>
      </c>
      <c r="M232" s="157"/>
      <c r="N232" s="157"/>
      <c r="O232" s="157"/>
      <c r="P232" s="157"/>
    </row>
    <row r="233" spans="1:16" s="125" customFormat="1" ht="14.25" customHeight="1">
      <c r="C233" s="178" t="str">
        <f>Koptame!C34</f>
        <v>Arnis Gailītis</v>
      </c>
      <c r="L233" s="178"/>
      <c r="M233" s="922" t="str">
        <f>Koptame!C40</f>
        <v>Dzintra Cīrule</v>
      </c>
      <c r="N233" s="922"/>
      <c r="O233" s="157"/>
      <c r="P233" s="157"/>
    </row>
    <row r="234" spans="1:16" s="125" customFormat="1">
      <c r="C234" s="179" t="str">
        <f>Koptame!C35</f>
        <v>Sertifikāta Nr.20-5643</v>
      </c>
      <c r="L234" s="179"/>
      <c r="M234" s="923" t="str">
        <f>Koptame!C41</f>
        <v>Sertifikāta Nr.10-0363</v>
      </c>
      <c r="N234" s="923"/>
      <c r="O234" s="157"/>
      <c r="P234" s="157"/>
    </row>
    <row r="235" spans="1:16" s="125" customFormat="1" collapsed="1">
      <c r="B235" s="146"/>
      <c r="F235" s="146"/>
      <c r="G235" s="146"/>
    </row>
  </sheetData>
  <mergeCells count="17">
    <mergeCell ref="M233:N233"/>
    <mergeCell ref="M234:N234"/>
    <mergeCell ref="L11:P11"/>
    <mergeCell ref="A229:P229"/>
    <mergeCell ref="A228:P228"/>
    <mergeCell ref="A11:A12"/>
    <mergeCell ref="B11:B12"/>
    <mergeCell ref="C11:C12"/>
    <mergeCell ref="D11:D12"/>
    <mergeCell ref="C225:K225"/>
    <mergeCell ref="E11:E12"/>
    <mergeCell ref="F11:K11"/>
    <mergeCell ref="A2:P2"/>
    <mergeCell ref="L9:O9"/>
    <mergeCell ref="D3:P3"/>
    <mergeCell ref="D4:P4"/>
    <mergeCell ref="D5:P5"/>
  </mergeCells>
  <conditionalFormatting sqref="E25:E27">
    <cfRule type="expression" dxfId="136" priority="2">
      <formula>#REF!&gt;0</formula>
    </cfRule>
  </conditionalFormatting>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159"/>
  <sheetViews>
    <sheetView showZeros="0" tabSelected="1" view="pageBreakPreview" topLeftCell="A79" zoomScaleNormal="100" zoomScaleSheetLayoutView="100" workbookViewId="0">
      <selection activeCell="C83" sqref="C83"/>
    </sheetView>
  </sheetViews>
  <sheetFormatPr defaultColWidth="9.125" defaultRowHeight="14.4"/>
  <cols>
    <col min="1" max="1" width="9" style="19" customWidth="1"/>
    <col min="2" max="2" width="10.625" style="19" customWidth="1"/>
    <col min="3" max="3" width="40.25" style="19" customWidth="1"/>
    <col min="4" max="4" width="8.125" style="19" customWidth="1"/>
    <col min="5" max="8" width="9.125" style="19"/>
    <col min="9" max="9" width="9.125" style="56"/>
    <col min="10" max="11" width="9.125" style="19"/>
    <col min="12" max="12" width="13.37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21" t="str">
        <f>kops1!$B$23</f>
        <v>1,3</v>
      </c>
      <c r="I1" s="53"/>
    </row>
    <row r="2" spans="1:16" s="24" customFormat="1">
      <c r="A2" s="919" t="str">
        <f>C13</f>
        <v>Sienas, nesošās konstrukcijas</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P149</f>
        <v>455761.32999999996</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kops1!C23</f>
        <v>Sienas, nesošās konstrukcijas</v>
      </c>
      <c r="D13" s="14"/>
      <c r="E13" s="15"/>
      <c r="F13" s="30">
        <v>0</v>
      </c>
      <c r="G13" s="29">
        <v>0</v>
      </c>
      <c r="H13" s="31">
        <v>0</v>
      </c>
      <c r="I13" s="29">
        <v>0</v>
      </c>
      <c r="J13" s="29">
        <v>0</v>
      </c>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30.15">
      <c r="A14" s="481">
        <v>0</v>
      </c>
      <c r="B14" s="482"/>
      <c r="C14" s="472" t="s">
        <v>1136</v>
      </c>
      <c r="D14" s="482"/>
      <c r="E14" s="473"/>
      <c r="F14" s="462"/>
      <c r="G14" s="463"/>
      <c r="H14" s="455"/>
      <c r="I14" s="464"/>
      <c r="J14" s="464"/>
      <c r="K14" s="102">
        <f>SUM(H14:J14)</f>
        <v>0</v>
      </c>
      <c r="L14" s="50">
        <f>ROUND(F14*E14,2)</f>
        <v>0</v>
      </c>
      <c r="M14" s="102">
        <f>ROUND(H14*E14,2)</f>
        <v>0</v>
      </c>
      <c r="N14" s="102">
        <f>ROUND(I14*E14,2)</f>
        <v>0</v>
      </c>
      <c r="O14" s="102">
        <f>ROUND(J14*E14,2)</f>
        <v>0</v>
      </c>
      <c r="P14" s="103">
        <f>SUM(M14:O14)</f>
        <v>0</v>
      </c>
    </row>
    <row r="15" spans="1:16" s="56" customFormat="1" ht="30.15">
      <c r="A15" s="481">
        <v>1</v>
      </c>
      <c r="B15" s="482"/>
      <c r="C15" s="483" t="s">
        <v>1137</v>
      </c>
      <c r="D15" s="482" t="s">
        <v>1120</v>
      </c>
      <c r="E15" s="674">
        <v>33.520000000000003</v>
      </c>
      <c r="F15" s="462">
        <v>18.95</v>
      </c>
      <c r="G15" s="463">
        <v>9.5</v>
      </c>
      <c r="H15" s="455">
        <f t="shared" ref="H15:H55" si="6">ROUND(F15*G15,2)</f>
        <v>180.03</v>
      </c>
      <c r="I15" s="464"/>
      <c r="J15" s="464">
        <v>40</v>
      </c>
      <c r="K15" s="102">
        <f t="shared" ref="K15:K89" si="7">SUM(H15:J15)</f>
        <v>220.03</v>
      </c>
      <c r="L15" s="50">
        <f t="shared" ref="L15:L89" si="8">ROUND(F15*E15,2)</f>
        <v>635.20000000000005</v>
      </c>
      <c r="M15" s="102">
        <f t="shared" ref="M15:M89" si="9">ROUND(H15*E15,2)</f>
        <v>6034.61</v>
      </c>
      <c r="N15" s="102">
        <f t="shared" ref="N15:N89" si="10">ROUND(I15*E15,2)</f>
        <v>0</v>
      </c>
      <c r="O15" s="102">
        <f t="shared" ref="O15:O89" si="11">ROUND(J15*E15,2)</f>
        <v>1340.8</v>
      </c>
      <c r="P15" s="103">
        <f t="shared" ref="P15:P89" si="12">SUM(M15:O15)</f>
        <v>7375.41</v>
      </c>
    </row>
    <row r="16" spans="1:16" s="56" customFormat="1" ht="30.15">
      <c r="A16" s="481">
        <v>0</v>
      </c>
      <c r="B16" s="482"/>
      <c r="C16" s="483" t="s">
        <v>1138</v>
      </c>
      <c r="D16" s="482" t="s">
        <v>1120</v>
      </c>
      <c r="E16" s="674">
        <f>E15*1.1</f>
        <v>36.872000000000007</v>
      </c>
      <c r="F16" s="462"/>
      <c r="G16" s="463"/>
      <c r="H16" s="455">
        <f t="shared" si="6"/>
        <v>0</v>
      </c>
      <c r="I16" s="464">
        <v>1550</v>
      </c>
      <c r="J16" s="464"/>
      <c r="K16" s="102">
        <f t="shared" si="7"/>
        <v>1550</v>
      </c>
      <c r="L16" s="50">
        <f t="shared" si="8"/>
        <v>0</v>
      </c>
      <c r="M16" s="102">
        <f t="shared" si="9"/>
        <v>0</v>
      </c>
      <c r="N16" s="102">
        <f t="shared" si="10"/>
        <v>57151.6</v>
      </c>
      <c r="O16" s="102">
        <f t="shared" si="11"/>
        <v>0</v>
      </c>
      <c r="P16" s="103">
        <f t="shared" si="12"/>
        <v>57151.6</v>
      </c>
    </row>
    <row r="17" spans="1:16" s="56" customFormat="1" ht="30.15">
      <c r="A17" s="481">
        <v>0</v>
      </c>
      <c r="B17" s="482"/>
      <c r="C17" s="483" t="s">
        <v>1139</v>
      </c>
      <c r="D17" s="482" t="s">
        <v>136</v>
      </c>
      <c r="E17" s="674">
        <v>1</v>
      </c>
      <c r="F17" s="462"/>
      <c r="G17" s="463"/>
      <c r="H17" s="455">
        <f t="shared" si="6"/>
        <v>0</v>
      </c>
      <c r="I17" s="464">
        <f>80*E15</f>
        <v>2681.6000000000004</v>
      </c>
      <c r="J17" s="464"/>
      <c r="K17" s="102">
        <f t="shared" si="7"/>
        <v>2681.6000000000004</v>
      </c>
      <c r="L17" s="50">
        <f t="shared" si="8"/>
        <v>0</v>
      </c>
      <c r="M17" s="102">
        <f t="shared" si="9"/>
        <v>0</v>
      </c>
      <c r="N17" s="102">
        <f t="shared" si="10"/>
        <v>2681.6</v>
      </c>
      <c r="O17" s="102">
        <f t="shared" si="11"/>
        <v>0</v>
      </c>
      <c r="P17" s="103">
        <f t="shared" si="12"/>
        <v>2681.6</v>
      </c>
    </row>
    <row r="18" spans="1:16" s="56" customFormat="1" ht="15.05">
      <c r="A18" s="470" t="s">
        <v>1458</v>
      </c>
      <c r="B18" s="471"/>
      <c r="C18" s="479" t="s">
        <v>1456</v>
      </c>
      <c r="D18" s="471" t="s">
        <v>118</v>
      </c>
      <c r="E18" s="473">
        <v>110</v>
      </c>
      <c r="F18" s="462">
        <v>0.5</v>
      </c>
      <c r="G18" s="463">
        <v>9.5</v>
      </c>
      <c r="H18" s="455">
        <f t="shared" si="6"/>
        <v>4.75</v>
      </c>
      <c r="I18" s="464">
        <v>3.54</v>
      </c>
      <c r="J18" s="464">
        <v>0.1</v>
      </c>
      <c r="K18" s="102">
        <f t="shared" ref="K18" si="13">SUM(H18:J18)</f>
        <v>8.3899999999999988</v>
      </c>
      <c r="L18" s="50">
        <f t="shared" ref="L18" si="14">ROUND(F18*E18,2)</f>
        <v>55</v>
      </c>
      <c r="M18" s="102">
        <f t="shared" ref="M18" si="15">ROUND(H18*E18,2)</f>
        <v>522.5</v>
      </c>
      <c r="N18" s="102">
        <f t="shared" ref="N18" si="16">ROUND(I18*E18,2)</f>
        <v>389.4</v>
      </c>
      <c r="O18" s="102">
        <f t="shared" ref="O18" si="17">ROUND(J18*E18,2)</f>
        <v>11</v>
      </c>
      <c r="P18" s="103">
        <f t="shared" ref="P18" si="18">SUM(M18:O18)</f>
        <v>922.9</v>
      </c>
    </row>
    <row r="19" spans="1:16" s="56" customFormat="1" ht="15.05">
      <c r="A19" s="470" t="s">
        <v>1459</v>
      </c>
      <c r="B19" s="471"/>
      <c r="C19" s="479" t="s">
        <v>1457</v>
      </c>
      <c r="D19" s="471" t="s">
        <v>118</v>
      </c>
      <c r="E19" s="473">
        <v>196</v>
      </c>
      <c r="F19" s="462">
        <v>0.5</v>
      </c>
      <c r="G19" s="463">
        <v>9.5</v>
      </c>
      <c r="H19" s="455">
        <f t="shared" si="6"/>
        <v>4.75</v>
      </c>
      <c r="I19" s="464">
        <v>3.98</v>
      </c>
      <c r="J19" s="464">
        <v>0.1</v>
      </c>
      <c r="K19" s="102">
        <f t="shared" ref="K19" si="19">SUM(H19:J19)</f>
        <v>8.83</v>
      </c>
      <c r="L19" s="50">
        <f t="shared" ref="L19" si="20">ROUND(F19*E19,2)</f>
        <v>98</v>
      </c>
      <c r="M19" s="102">
        <f t="shared" ref="M19" si="21">ROUND(H19*E19,2)</f>
        <v>931</v>
      </c>
      <c r="N19" s="102">
        <f t="shared" ref="N19" si="22">ROUND(I19*E19,2)</f>
        <v>780.08</v>
      </c>
      <c r="O19" s="102">
        <f t="shared" ref="O19" si="23">ROUND(J19*E19,2)</f>
        <v>19.600000000000001</v>
      </c>
      <c r="P19" s="103">
        <f t="shared" ref="P19" si="24">SUM(M19:O19)</f>
        <v>1730.6799999999998</v>
      </c>
    </row>
    <row r="20" spans="1:16" s="56" customFormat="1" ht="15.05">
      <c r="A20" s="481">
        <v>0</v>
      </c>
      <c r="B20" s="482"/>
      <c r="C20" s="483"/>
      <c r="D20" s="471"/>
      <c r="E20" s="473"/>
      <c r="F20" s="462"/>
      <c r="G20" s="463"/>
      <c r="H20" s="455">
        <f t="shared" si="6"/>
        <v>0</v>
      </c>
      <c r="I20" s="464"/>
      <c r="J20" s="464"/>
      <c r="K20" s="102">
        <f t="shared" si="7"/>
        <v>0</v>
      </c>
      <c r="L20" s="50">
        <f t="shared" si="8"/>
        <v>0</v>
      </c>
      <c r="M20" s="102">
        <f t="shared" si="9"/>
        <v>0</v>
      </c>
      <c r="N20" s="102">
        <f t="shared" si="10"/>
        <v>0</v>
      </c>
      <c r="O20" s="102">
        <f t="shared" si="11"/>
        <v>0</v>
      </c>
      <c r="P20" s="103">
        <f t="shared" si="12"/>
        <v>0</v>
      </c>
    </row>
    <row r="21" spans="1:16" s="56" customFormat="1" ht="15.05">
      <c r="A21" s="481">
        <v>0</v>
      </c>
      <c r="B21" s="482"/>
      <c r="C21" s="472" t="s">
        <v>1140</v>
      </c>
      <c r="D21" s="471"/>
      <c r="E21" s="473"/>
      <c r="F21" s="462"/>
      <c r="G21" s="463"/>
      <c r="H21" s="455">
        <f t="shared" si="6"/>
        <v>0</v>
      </c>
      <c r="I21" s="464"/>
      <c r="J21" s="464"/>
      <c r="K21" s="102">
        <f t="shared" si="7"/>
        <v>0</v>
      </c>
      <c r="L21" s="50">
        <f t="shared" si="8"/>
        <v>0</v>
      </c>
      <c r="M21" s="102">
        <f t="shared" si="9"/>
        <v>0</v>
      </c>
      <c r="N21" s="102">
        <f t="shared" si="10"/>
        <v>0</v>
      </c>
      <c r="O21" s="102">
        <f t="shared" si="11"/>
        <v>0</v>
      </c>
      <c r="P21" s="103">
        <f t="shared" si="12"/>
        <v>0</v>
      </c>
    </row>
    <row r="22" spans="1:16" s="56" customFormat="1" ht="30.15">
      <c r="A22" s="470">
        <v>2</v>
      </c>
      <c r="B22" s="471"/>
      <c r="C22" s="479" t="s">
        <v>1141</v>
      </c>
      <c r="D22" s="471" t="s">
        <v>1110</v>
      </c>
      <c r="E22" s="473">
        <v>4</v>
      </c>
      <c r="F22" s="462">
        <v>4.2</v>
      </c>
      <c r="G22" s="463">
        <v>9.5</v>
      </c>
      <c r="H22" s="455">
        <f t="shared" si="6"/>
        <v>39.9</v>
      </c>
      <c r="I22" s="464">
        <v>30.7</v>
      </c>
      <c r="J22" s="464">
        <v>3</v>
      </c>
      <c r="K22" s="102">
        <f t="shared" si="7"/>
        <v>73.599999999999994</v>
      </c>
      <c r="L22" s="50">
        <f t="shared" si="8"/>
        <v>16.8</v>
      </c>
      <c r="M22" s="102">
        <f t="shared" si="9"/>
        <v>159.6</v>
      </c>
      <c r="N22" s="102">
        <f t="shared" si="10"/>
        <v>122.8</v>
      </c>
      <c r="O22" s="102">
        <f t="shared" si="11"/>
        <v>12</v>
      </c>
      <c r="P22" s="103">
        <f t="shared" si="12"/>
        <v>294.39999999999998</v>
      </c>
    </row>
    <row r="23" spans="1:16" s="56" customFormat="1" ht="30.15">
      <c r="A23" s="481">
        <v>3</v>
      </c>
      <c r="B23" s="482"/>
      <c r="C23" s="483" t="s">
        <v>1118</v>
      </c>
      <c r="D23" s="482" t="s">
        <v>29</v>
      </c>
      <c r="E23" s="473">
        <v>88.2</v>
      </c>
      <c r="F23" s="462">
        <v>0.65</v>
      </c>
      <c r="G23" s="463">
        <v>9.5</v>
      </c>
      <c r="H23" s="455">
        <f t="shared" si="6"/>
        <v>6.18</v>
      </c>
      <c r="I23" s="464">
        <v>0.68</v>
      </c>
      <c r="J23" s="464">
        <v>8.5</v>
      </c>
      <c r="K23" s="102">
        <f t="shared" si="7"/>
        <v>15.36</v>
      </c>
      <c r="L23" s="50">
        <f t="shared" si="8"/>
        <v>57.33</v>
      </c>
      <c r="M23" s="102">
        <f t="shared" si="9"/>
        <v>545.08000000000004</v>
      </c>
      <c r="N23" s="102">
        <f t="shared" si="10"/>
        <v>59.98</v>
      </c>
      <c r="O23" s="102">
        <f t="shared" si="11"/>
        <v>749.7</v>
      </c>
      <c r="P23" s="103">
        <f t="shared" si="12"/>
        <v>1354.7600000000002</v>
      </c>
    </row>
    <row r="24" spans="1:16" s="56" customFormat="1" ht="30.15">
      <c r="A24" s="481">
        <v>4</v>
      </c>
      <c r="B24" s="482"/>
      <c r="C24" s="483" t="s">
        <v>1142</v>
      </c>
      <c r="D24" s="482" t="s">
        <v>1120</v>
      </c>
      <c r="E24" s="674">
        <v>2.99</v>
      </c>
      <c r="F24" s="462">
        <v>28.42</v>
      </c>
      <c r="G24" s="463">
        <v>9.5</v>
      </c>
      <c r="H24" s="455">
        <f t="shared" si="6"/>
        <v>269.99</v>
      </c>
      <c r="I24" s="464">
        <v>0</v>
      </c>
      <c r="J24" s="464">
        <v>40</v>
      </c>
      <c r="K24" s="102">
        <f t="shared" si="7"/>
        <v>309.99</v>
      </c>
      <c r="L24" s="50">
        <f t="shared" si="8"/>
        <v>84.98</v>
      </c>
      <c r="M24" s="102">
        <f t="shared" si="9"/>
        <v>807.27</v>
      </c>
      <c r="N24" s="102">
        <f t="shared" si="10"/>
        <v>0</v>
      </c>
      <c r="O24" s="102">
        <f t="shared" si="11"/>
        <v>119.6</v>
      </c>
      <c r="P24" s="103">
        <f t="shared" si="12"/>
        <v>926.87</v>
      </c>
    </row>
    <row r="25" spans="1:16" s="56" customFormat="1" ht="15.05">
      <c r="A25" s="481">
        <v>0</v>
      </c>
      <c r="B25" s="482"/>
      <c r="C25" s="483" t="s">
        <v>1121</v>
      </c>
      <c r="D25" s="482" t="s">
        <v>1120</v>
      </c>
      <c r="E25" s="674">
        <f>E24*1.15</f>
        <v>3.4384999999999999</v>
      </c>
      <c r="F25" s="462"/>
      <c r="G25" s="463"/>
      <c r="H25" s="455">
        <f t="shared" si="6"/>
        <v>0</v>
      </c>
      <c r="I25" s="464">
        <v>640</v>
      </c>
      <c r="J25" s="464"/>
      <c r="K25" s="102">
        <f t="shared" si="7"/>
        <v>640</v>
      </c>
      <c r="L25" s="50">
        <f t="shared" si="8"/>
        <v>0</v>
      </c>
      <c r="M25" s="102">
        <f t="shared" si="9"/>
        <v>0</v>
      </c>
      <c r="N25" s="102">
        <f t="shared" si="10"/>
        <v>2200.64</v>
      </c>
      <c r="O25" s="102">
        <f t="shared" si="11"/>
        <v>0</v>
      </c>
      <c r="P25" s="103">
        <f t="shared" si="12"/>
        <v>2200.64</v>
      </c>
    </row>
    <row r="26" spans="1:16" s="56" customFormat="1" ht="30.15">
      <c r="A26" s="481">
        <v>0</v>
      </c>
      <c r="B26" s="482"/>
      <c r="C26" s="483" t="s">
        <v>1122</v>
      </c>
      <c r="D26" s="482" t="s">
        <v>136</v>
      </c>
      <c r="E26" s="473">
        <v>1</v>
      </c>
      <c r="F26" s="462"/>
      <c r="G26" s="463"/>
      <c r="H26" s="455">
        <f t="shared" si="6"/>
        <v>0</v>
      </c>
      <c r="I26" s="464">
        <f>90*E24</f>
        <v>269.10000000000002</v>
      </c>
      <c r="J26" s="464"/>
      <c r="K26" s="102">
        <f t="shared" si="7"/>
        <v>269.10000000000002</v>
      </c>
      <c r="L26" s="50">
        <f t="shared" si="8"/>
        <v>0</v>
      </c>
      <c r="M26" s="102">
        <f t="shared" si="9"/>
        <v>0</v>
      </c>
      <c r="N26" s="102">
        <f t="shared" si="10"/>
        <v>269.10000000000002</v>
      </c>
      <c r="O26" s="102">
        <f t="shared" si="11"/>
        <v>0</v>
      </c>
      <c r="P26" s="103">
        <f t="shared" si="12"/>
        <v>269.10000000000002</v>
      </c>
    </row>
    <row r="27" spans="1:16" s="56" customFormat="1" ht="15.05">
      <c r="A27" s="470">
        <v>5</v>
      </c>
      <c r="B27" s="471"/>
      <c r="C27" s="479" t="s">
        <v>1143</v>
      </c>
      <c r="D27" s="471" t="s">
        <v>884</v>
      </c>
      <c r="E27" s="473">
        <v>13.3</v>
      </c>
      <c r="F27" s="462">
        <v>3.98</v>
      </c>
      <c r="G27" s="463">
        <v>9.5</v>
      </c>
      <c r="H27" s="455">
        <f t="shared" si="6"/>
        <v>37.81</v>
      </c>
      <c r="I27" s="464">
        <v>0</v>
      </c>
      <c r="J27" s="464">
        <v>2.8</v>
      </c>
      <c r="K27" s="102">
        <f t="shared" si="7"/>
        <v>40.61</v>
      </c>
      <c r="L27" s="50">
        <f t="shared" si="8"/>
        <v>52.93</v>
      </c>
      <c r="M27" s="102">
        <f t="shared" si="9"/>
        <v>502.87</v>
      </c>
      <c r="N27" s="102">
        <f t="shared" si="10"/>
        <v>0</v>
      </c>
      <c r="O27" s="102">
        <f t="shared" si="11"/>
        <v>37.24</v>
      </c>
      <c r="P27" s="103">
        <f t="shared" si="12"/>
        <v>540.11</v>
      </c>
    </row>
    <row r="28" spans="1:16" s="56" customFormat="1" ht="15.05">
      <c r="A28" s="470">
        <v>0</v>
      </c>
      <c r="B28" s="471"/>
      <c r="C28" s="479" t="s">
        <v>1144</v>
      </c>
      <c r="D28" s="471" t="s">
        <v>884</v>
      </c>
      <c r="E28" s="473">
        <f>E27*1.05</f>
        <v>13.965000000000002</v>
      </c>
      <c r="F28" s="462"/>
      <c r="G28" s="463"/>
      <c r="H28" s="455">
        <f t="shared" si="6"/>
        <v>0</v>
      </c>
      <c r="I28" s="464">
        <v>69.3</v>
      </c>
      <c r="J28" s="464"/>
      <c r="K28" s="102">
        <f t="shared" si="7"/>
        <v>69.3</v>
      </c>
      <c r="L28" s="50">
        <f t="shared" si="8"/>
        <v>0</v>
      </c>
      <c r="M28" s="102">
        <f t="shared" si="9"/>
        <v>0</v>
      </c>
      <c r="N28" s="102">
        <f t="shared" si="10"/>
        <v>967.77</v>
      </c>
      <c r="O28" s="102">
        <f t="shared" si="11"/>
        <v>0</v>
      </c>
      <c r="P28" s="103">
        <f t="shared" si="12"/>
        <v>967.77</v>
      </c>
    </row>
    <row r="29" spans="1:16" s="56" customFormat="1" ht="15.05">
      <c r="A29" s="470">
        <v>0</v>
      </c>
      <c r="B29" s="471"/>
      <c r="C29" s="479" t="s">
        <v>1116</v>
      </c>
      <c r="D29" s="471" t="s">
        <v>1117</v>
      </c>
      <c r="E29" s="473">
        <f>E27*0.25</f>
        <v>3.3250000000000002</v>
      </c>
      <c r="F29" s="462"/>
      <c r="G29" s="463"/>
      <c r="H29" s="455">
        <f t="shared" si="6"/>
        <v>0</v>
      </c>
      <c r="I29" s="464">
        <v>0</v>
      </c>
      <c r="J29" s="464">
        <v>80</v>
      </c>
      <c r="K29" s="102">
        <f t="shared" si="7"/>
        <v>80</v>
      </c>
      <c r="L29" s="50">
        <f t="shared" si="8"/>
        <v>0</v>
      </c>
      <c r="M29" s="102">
        <f t="shared" si="9"/>
        <v>0</v>
      </c>
      <c r="N29" s="102">
        <f t="shared" si="10"/>
        <v>0</v>
      </c>
      <c r="O29" s="102">
        <f t="shared" si="11"/>
        <v>266</v>
      </c>
      <c r="P29" s="103">
        <f t="shared" si="12"/>
        <v>266</v>
      </c>
    </row>
    <row r="30" spans="1:16" s="56" customFormat="1" ht="15.05">
      <c r="A30" s="481">
        <v>0</v>
      </c>
      <c r="B30" s="482"/>
      <c r="C30" s="816" t="s">
        <v>1978</v>
      </c>
      <c r="D30" s="471"/>
      <c r="E30" s="473"/>
      <c r="F30" s="462"/>
      <c r="G30" s="463"/>
      <c r="H30" s="455">
        <f t="shared" ref="H30:H36" si="25">ROUND(F30*G30,2)</f>
        <v>0</v>
      </c>
      <c r="I30" s="464"/>
      <c r="J30" s="464"/>
      <c r="K30" s="102">
        <f t="shared" ref="K30:K36" si="26">SUM(H30:J30)</f>
        <v>0</v>
      </c>
      <c r="L30" s="50">
        <f t="shared" ref="L30:L36" si="27">ROUND(F30*E30,2)</f>
        <v>0</v>
      </c>
      <c r="M30" s="102">
        <f t="shared" ref="M30:M36" si="28">ROUND(H30*E30,2)</f>
        <v>0</v>
      </c>
      <c r="N30" s="102">
        <f t="shared" ref="N30:N36" si="29">ROUND(I30*E30,2)</f>
        <v>0</v>
      </c>
      <c r="O30" s="102">
        <f t="shared" ref="O30:O36" si="30">ROUND(J30*E30,2)</f>
        <v>0</v>
      </c>
      <c r="P30" s="103">
        <f t="shared" ref="P30:P36" si="31">SUM(M30:O30)</f>
        <v>0</v>
      </c>
    </row>
    <row r="31" spans="1:16" s="56" customFormat="1" ht="30.15">
      <c r="A31" s="481" t="s">
        <v>1585</v>
      </c>
      <c r="B31" s="482"/>
      <c r="C31" s="810" t="s">
        <v>1137</v>
      </c>
      <c r="D31" s="473" t="s">
        <v>1120</v>
      </c>
      <c r="E31" s="473">
        <v>3.52</v>
      </c>
      <c r="F31" s="462">
        <v>18.95</v>
      </c>
      <c r="G31" s="463">
        <v>9.5</v>
      </c>
      <c r="H31" s="455">
        <f t="shared" si="25"/>
        <v>180.03</v>
      </c>
      <c r="I31" s="464"/>
      <c r="J31" s="464">
        <v>40</v>
      </c>
      <c r="K31" s="102">
        <f t="shared" si="26"/>
        <v>220.03</v>
      </c>
      <c r="L31" s="50">
        <f t="shared" si="27"/>
        <v>66.7</v>
      </c>
      <c r="M31" s="102">
        <f t="shared" si="28"/>
        <v>633.71</v>
      </c>
      <c r="N31" s="102">
        <f t="shared" si="29"/>
        <v>0</v>
      </c>
      <c r="O31" s="102">
        <f t="shared" si="30"/>
        <v>140.80000000000001</v>
      </c>
      <c r="P31" s="103">
        <f t="shared" si="31"/>
        <v>774.51</v>
      </c>
    </row>
    <row r="32" spans="1:16" s="56" customFormat="1" ht="30.15">
      <c r="A32" s="481">
        <v>0</v>
      </c>
      <c r="B32" s="482"/>
      <c r="C32" s="810" t="s">
        <v>1138</v>
      </c>
      <c r="D32" s="473" t="s">
        <v>1120</v>
      </c>
      <c r="E32" s="473">
        <f>E31*1.1</f>
        <v>3.8720000000000003</v>
      </c>
      <c r="F32" s="462"/>
      <c r="G32" s="463"/>
      <c r="H32" s="455">
        <f t="shared" si="25"/>
        <v>0</v>
      </c>
      <c r="I32" s="464">
        <v>1550</v>
      </c>
      <c r="J32" s="464"/>
      <c r="K32" s="102">
        <f t="shared" si="26"/>
        <v>1550</v>
      </c>
      <c r="L32" s="50">
        <f t="shared" si="27"/>
        <v>0</v>
      </c>
      <c r="M32" s="102">
        <f t="shared" si="28"/>
        <v>0</v>
      </c>
      <c r="N32" s="102">
        <f t="shared" si="29"/>
        <v>6001.6</v>
      </c>
      <c r="O32" s="102">
        <f t="shared" si="30"/>
        <v>0</v>
      </c>
      <c r="P32" s="103">
        <f t="shared" si="31"/>
        <v>6001.6</v>
      </c>
    </row>
    <row r="33" spans="1:16" s="56" customFormat="1" ht="30.15">
      <c r="A33" s="481">
        <v>0</v>
      </c>
      <c r="B33" s="482"/>
      <c r="C33" s="810" t="s">
        <v>1139</v>
      </c>
      <c r="D33" s="473" t="s">
        <v>136</v>
      </c>
      <c r="E33" s="473">
        <v>1</v>
      </c>
      <c r="F33" s="462"/>
      <c r="G33" s="463"/>
      <c r="H33" s="455">
        <f t="shared" si="25"/>
        <v>0</v>
      </c>
      <c r="I33" s="464">
        <f>80*E31</f>
        <v>281.60000000000002</v>
      </c>
      <c r="J33" s="464"/>
      <c r="K33" s="102">
        <f t="shared" si="26"/>
        <v>281.60000000000002</v>
      </c>
      <c r="L33" s="50">
        <f t="shared" si="27"/>
        <v>0</v>
      </c>
      <c r="M33" s="102">
        <f t="shared" si="28"/>
        <v>0</v>
      </c>
      <c r="N33" s="102">
        <f t="shared" si="29"/>
        <v>281.60000000000002</v>
      </c>
      <c r="O33" s="102">
        <f t="shared" si="30"/>
        <v>0</v>
      </c>
      <c r="P33" s="103">
        <f t="shared" si="31"/>
        <v>281.60000000000002</v>
      </c>
    </row>
    <row r="34" spans="1:16" s="56" customFormat="1" ht="15.05">
      <c r="A34" s="470" t="s">
        <v>1586</v>
      </c>
      <c r="B34" s="471"/>
      <c r="C34" s="810" t="s">
        <v>1583</v>
      </c>
      <c r="D34" s="473" t="s">
        <v>884</v>
      </c>
      <c r="E34" s="473">
        <v>0.1</v>
      </c>
      <c r="F34" s="462">
        <v>3.98</v>
      </c>
      <c r="G34" s="463">
        <v>9.5</v>
      </c>
      <c r="H34" s="455">
        <f t="shared" si="25"/>
        <v>37.81</v>
      </c>
      <c r="I34" s="464">
        <v>0</v>
      </c>
      <c r="J34" s="464">
        <v>2.8</v>
      </c>
      <c r="K34" s="102">
        <f t="shared" si="26"/>
        <v>40.61</v>
      </c>
      <c r="L34" s="50">
        <f t="shared" si="27"/>
        <v>0.4</v>
      </c>
      <c r="M34" s="102">
        <f t="shared" si="28"/>
        <v>3.78</v>
      </c>
      <c r="N34" s="102">
        <f t="shared" si="29"/>
        <v>0</v>
      </c>
      <c r="O34" s="102">
        <f t="shared" si="30"/>
        <v>0.28000000000000003</v>
      </c>
      <c r="P34" s="103">
        <f t="shared" si="31"/>
        <v>4.0599999999999996</v>
      </c>
    </row>
    <row r="35" spans="1:16" s="56" customFormat="1" ht="15.05">
      <c r="A35" s="470">
        <v>0</v>
      </c>
      <c r="B35" s="471"/>
      <c r="C35" s="810" t="s">
        <v>1584</v>
      </c>
      <c r="D35" s="473" t="s">
        <v>884</v>
      </c>
      <c r="E35" s="473">
        <f>E34*1.05</f>
        <v>0.10500000000000001</v>
      </c>
      <c r="F35" s="462"/>
      <c r="G35" s="463"/>
      <c r="H35" s="455">
        <f t="shared" si="25"/>
        <v>0</v>
      </c>
      <c r="I35" s="464">
        <v>75</v>
      </c>
      <c r="J35" s="464"/>
      <c r="K35" s="102">
        <f t="shared" si="26"/>
        <v>75</v>
      </c>
      <c r="L35" s="50">
        <f t="shared" si="27"/>
        <v>0</v>
      </c>
      <c r="M35" s="102">
        <f t="shared" si="28"/>
        <v>0</v>
      </c>
      <c r="N35" s="102">
        <f t="shared" si="29"/>
        <v>7.88</v>
      </c>
      <c r="O35" s="102">
        <f t="shared" si="30"/>
        <v>0</v>
      </c>
      <c r="P35" s="103">
        <f t="shared" si="31"/>
        <v>7.88</v>
      </c>
    </row>
    <row r="36" spans="1:16" s="56" customFormat="1" ht="15.05">
      <c r="A36" s="470">
        <v>0</v>
      </c>
      <c r="B36" s="471"/>
      <c r="C36" s="810" t="s">
        <v>1116</v>
      </c>
      <c r="D36" s="473" t="s">
        <v>1117</v>
      </c>
      <c r="E36" s="473">
        <f>E34*0.25</f>
        <v>2.5000000000000001E-2</v>
      </c>
      <c r="F36" s="462"/>
      <c r="G36" s="463"/>
      <c r="H36" s="455">
        <f t="shared" si="25"/>
        <v>0</v>
      </c>
      <c r="I36" s="464">
        <v>0</v>
      </c>
      <c r="J36" s="464">
        <v>80</v>
      </c>
      <c r="K36" s="102">
        <f t="shared" si="26"/>
        <v>80</v>
      </c>
      <c r="L36" s="50">
        <f t="shared" si="27"/>
        <v>0</v>
      </c>
      <c r="M36" s="102">
        <f t="shared" si="28"/>
        <v>0</v>
      </c>
      <c r="N36" s="102">
        <f t="shared" si="29"/>
        <v>0</v>
      </c>
      <c r="O36" s="102">
        <f t="shared" si="30"/>
        <v>2</v>
      </c>
      <c r="P36" s="103">
        <f t="shared" si="31"/>
        <v>2</v>
      </c>
    </row>
    <row r="37" spans="1:16" s="56" customFormat="1" ht="30.15">
      <c r="A37" s="481">
        <v>0</v>
      </c>
      <c r="B37" s="482"/>
      <c r="C37" s="472" t="s">
        <v>1145</v>
      </c>
      <c r="D37" s="482"/>
      <c r="E37" s="473"/>
      <c r="F37" s="462"/>
      <c r="G37" s="463"/>
      <c r="H37" s="455">
        <f t="shared" si="6"/>
        <v>0</v>
      </c>
      <c r="I37" s="464"/>
      <c r="J37" s="464"/>
      <c r="K37" s="102">
        <f t="shared" si="7"/>
        <v>0</v>
      </c>
      <c r="L37" s="50">
        <f t="shared" si="8"/>
        <v>0</v>
      </c>
      <c r="M37" s="102">
        <f t="shared" si="9"/>
        <v>0</v>
      </c>
      <c r="N37" s="102">
        <f t="shared" si="10"/>
        <v>0</v>
      </c>
      <c r="O37" s="102">
        <f t="shared" si="11"/>
        <v>0</v>
      </c>
      <c r="P37" s="103">
        <f t="shared" si="12"/>
        <v>0</v>
      </c>
    </row>
    <row r="38" spans="1:16" s="56" customFormat="1" ht="30.15">
      <c r="A38" s="470">
        <v>6</v>
      </c>
      <c r="B38" s="471"/>
      <c r="C38" s="479" t="s">
        <v>1146</v>
      </c>
      <c r="D38" s="471" t="s">
        <v>1110</v>
      </c>
      <c r="E38" s="473">
        <v>1</v>
      </c>
      <c r="F38" s="462">
        <v>4.1100000000000003</v>
      </c>
      <c r="G38" s="463">
        <v>9.5</v>
      </c>
      <c r="H38" s="455">
        <f t="shared" si="6"/>
        <v>39.049999999999997</v>
      </c>
      <c r="I38" s="464">
        <v>1097.25</v>
      </c>
      <c r="J38" s="464">
        <v>15</v>
      </c>
      <c r="K38" s="102">
        <f t="shared" si="7"/>
        <v>1151.3</v>
      </c>
      <c r="L38" s="50">
        <f t="shared" si="8"/>
        <v>4.1100000000000003</v>
      </c>
      <c r="M38" s="102">
        <f t="shared" si="9"/>
        <v>39.049999999999997</v>
      </c>
      <c r="N38" s="102">
        <f t="shared" si="10"/>
        <v>1097.25</v>
      </c>
      <c r="O38" s="102">
        <f t="shared" si="11"/>
        <v>15</v>
      </c>
      <c r="P38" s="103">
        <f t="shared" si="12"/>
        <v>1151.3</v>
      </c>
    </row>
    <row r="39" spans="1:16" s="56" customFormat="1" ht="30.15">
      <c r="A39" s="470">
        <v>7</v>
      </c>
      <c r="B39" s="471"/>
      <c r="C39" s="479" t="s">
        <v>1147</v>
      </c>
      <c r="D39" s="471" t="s">
        <v>1110</v>
      </c>
      <c r="E39" s="473">
        <v>1</v>
      </c>
      <c r="F39" s="462">
        <v>4.1100000000000003</v>
      </c>
      <c r="G39" s="463">
        <v>9.5</v>
      </c>
      <c r="H39" s="455">
        <f t="shared" si="6"/>
        <v>39.049999999999997</v>
      </c>
      <c r="I39" s="464">
        <v>1099.75</v>
      </c>
      <c r="J39" s="464">
        <v>15</v>
      </c>
      <c r="K39" s="102">
        <f t="shared" si="7"/>
        <v>1153.8</v>
      </c>
      <c r="L39" s="50">
        <f t="shared" si="8"/>
        <v>4.1100000000000003</v>
      </c>
      <c r="M39" s="102">
        <f t="shared" si="9"/>
        <v>39.049999999999997</v>
      </c>
      <c r="N39" s="102">
        <f t="shared" si="10"/>
        <v>1099.75</v>
      </c>
      <c r="O39" s="102">
        <f t="shared" si="11"/>
        <v>15</v>
      </c>
      <c r="P39" s="103">
        <f t="shared" si="12"/>
        <v>1153.8</v>
      </c>
    </row>
    <row r="40" spans="1:16" s="56" customFormat="1" ht="30.15">
      <c r="A40" s="470">
        <v>8</v>
      </c>
      <c r="B40" s="471"/>
      <c r="C40" s="479" t="s">
        <v>1148</v>
      </c>
      <c r="D40" s="471" t="s">
        <v>1110</v>
      </c>
      <c r="E40" s="473">
        <v>1</v>
      </c>
      <c r="F40" s="462">
        <v>4.1100000000000003</v>
      </c>
      <c r="G40" s="463">
        <v>9.5</v>
      </c>
      <c r="H40" s="455">
        <f t="shared" si="6"/>
        <v>39.049999999999997</v>
      </c>
      <c r="I40" s="464">
        <v>1099.75</v>
      </c>
      <c r="J40" s="464">
        <v>15</v>
      </c>
      <c r="K40" s="102">
        <f t="shared" si="7"/>
        <v>1153.8</v>
      </c>
      <c r="L40" s="50">
        <f t="shared" si="8"/>
        <v>4.1100000000000003</v>
      </c>
      <c r="M40" s="102">
        <f t="shared" si="9"/>
        <v>39.049999999999997</v>
      </c>
      <c r="N40" s="102">
        <f t="shared" si="10"/>
        <v>1099.75</v>
      </c>
      <c r="O40" s="102">
        <f t="shared" si="11"/>
        <v>15</v>
      </c>
      <c r="P40" s="103">
        <f t="shared" si="12"/>
        <v>1153.8</v>
      </c>
    </row>
    <row r="41" spans="1:16" s="56" customFormat="1" ht="30.15">
      <c r="A41" s="470">
        <v>9</v>
      </c>
      <c r="B41" s="471"/>
      <c r="C41" s="479" t="s">
        <v>1149</v>
      </c>
      <c r="D41" s="471" t="s">
        <v>1110</v>
      </c>
      <c r="E41" s="473">
        <v>1</v>
      </c>
      <c r="F41" s="462">
        <v>4.1100000000000003</v>
      </c>
      <c r="G41" s="463">
        <v>9.5</v>
      </c>
      <c r="H41" s="455">
        <f t="shared" si="6"/>
        <v>39.049999999999997</v>
      </c>
      <c r="I41" s="464">
        <v>1099.75</v>
      </c>
      <c r="J41" s="464">
        <v>15</v>
      </c>
      <c r="K41" s="102">
        <f t="shared" si="7"/>
        <v>1153.8</v>
      </c>
      <c r="L41" s="50">
        <f t="shared" si="8"/>
        <v>4.1100000000000003</v>
      </c>
      <c r="M41" s="102">
        <f t="shared" si="9"/>
        <v>39.049999999999997</v>
      </c>
      <c r="N41" s="102">
        <f t="shared" si="10"/>
        <v>1099.75</v>
      </c>
      <c r="O41" s="102">
        <f t="shared" si="11"/>
        <v>15</v>
      </c>
      <c r="P41" s="103">
        <f t="shared" si="12"/>
        <v>1153.8</v>
      </c>
    </row>
    <row r="42" spans="1:16" s="56" customFormat="1" ht="30.15">
      <c r="A42" s="470">
        <v>10</v>
      </c>
      <c r="B42" s="471"/>
      <c r="C42" s="479" t="s">
        <v>1150</v>
      </c>
      <c r="D42" s="471" t="s">
        <v>1110</v>
      </c>
      <c r="E42" s="473">
        <v>1</v>
      </c>
      <c r="F42" s="462">
        <v>4.1100000000000003</v>
      </c>
      <c r="G42" s="463">
        <v>9.5</v>
      </c>
      <c r="H42" s="455">
        <f t="shared" si="6"/>
        <v>39.049999999999997</v>
      </c>
      <c r="I42" s="464">
        <v>1099.75</v>
      </c>
      <c r="J42" s="464">
        <v>15</v>
      </c>
      <c r="K42" s="102">
        <f t="shared" si="7"/>
        <v>1153.8</v>
      </c>
      <c r="L42" s="50">
        <f t="shared" si="8"/>
        <v>4.1100000000000003</v>
      </c>
      <c r="M42" s="102">
        <f t="shared" si="9"/>
        <v>39.049999999999997</v>
      </c>
      <c r="N42" s="102">
        <f t="shared" si="10"/>
        <v>1099.75</v>
      </c>
      <c r="O42" s="102">
        <f t="shared" si="11"/>
        <v>15</v>
      </c>
      <c r="P42" s="103">
        <f t="shared" si="12"/>
        <v>1153.8</v>
      </c>
    </row>
    <row r="43" spans="1:16" s="56" customFormat="1" ht="30.15">
      <c r="A43" s="470">
        <v>11</v>
      </c>
      <c r="B43" s="471"/>
      <c r="C43" s="479" t="s">
        <v>1151</v>
      </c>
      <c r="D43" s="471" t="s">
        <v>1110</v>
      </c>
      <c r="E43" s="473">
        <v>1</v>
      </c>
      <c r="F43" s="462">
        <v>4.1100000000000003</v>
      </c>
      <c r="G43" s="463">
        <v>9.5</v>
      </c>
      <c r="H43" s="455">
        <f t="shared" si="6"/>
        <v>39.049999999999997</v>
      </c>
      <c r="I43" s="464">
        <v>1099.75</v>
      </c>
      <c r="J43" s="464">
        <v>15</v>
      </c>
      <c r="K43" s="102">
        <f t="shared" si="7"/>
        <v>1153.8</v>
      </c>
      <c r="L43" s="50">
        <f t="shared" si="8"/>
        <v>4.1100000000000003</v>
      </c>
      <c r="M43" s="102">
        <f t="shared" si="9"/>
        <v>39.049999999999997</v>
      </c>
      <c r="N43" s="102">
        <f t="shared" si="10"/>
        <v>1099.75</v>
      </c>
      <c r="O43" s="102">
        <f t="shared" si="11"/>
        <v>15</v>
      </c>
      <c r="P43" s="103">
        <f t="shared" si="12"/>
        <v>1153.8</v>
      </c>
    </row>
    <row r="44" spans="1:16" s="56" customFormat="1" ht="30.15">
      <c r="A44" s="470">
        <v>12</v>
      </c>
      <c r="B44" s="471"/>
      <c r="C44" s="479" t="s">
        <v>1152</v>
      </c>
      <c r="D44" s="471" t="s">
        <v>1110</v>
      </c>
      <c r="E44" s="473">
        <v>1</v>
      </c>
      <c r="F44" s="462">
        <v>4.1100000000000003</v>
      </c>
      <c r="G44" s="463">
        <v>9.5</v>
      </c>
      <c r="H44" s="455">
        <f t="shared" si="6"/>
        <v>39.049999999999997</v>
      </c>
      <c r="I44" s="464">
        <v>1099.75</v>
      </c>
      <c r="J44" s="464">
        <v>15</v>
      </c>
      <c r="K44" s="102">
        <f t="shared" si="7"/>
        <v>1153.8</v>
      </c>
      <c r="L44" s="50">
        <f t="shared" si="8"/>
        <v>4.1100000000000003</v>
      </c>
      <c r="M44" s="102">
        <f t="shared" si="9"/>
        <v>39.049999999999997</v>
      </c>
      <c r="N44" s="102">
        <f t="shared" si="10"/>
        <v>1099.75</v>
      </c>
      <c r="O44" s="102">
        <f t="shared" si="11"/>
        <v>15</v>
      </c>
      <c r="P44" s="103">
        <f t="shared" si="12"/>
        <v>1153.8</v>
      </c>
    </row>
    <row r="45" spans="1:16" s="56" customFormat="1" ht="30.15">
      <c r="A45" s="470">
        <v>13</v>
      </c>
      <c r="B45" s="471"/>
      <c r="C45" s="479" t="s">
        <v>1153</v>
      </c>
      <c r="D45" s="471" t="s">
        <v>1110</v>
      </c>
      <c r="E45" s="674">
        <v>1</v>
      </c>
      <c r="F45" s="462">
        <v>4.1100000000000003</v>
      </c>
      <c r="G45" s="463">
        <v>9.5</v>
      </c>
      <c r="H45" s="455">
        <f t="shared" si="6"/>
        <v>39.049999999999997</v>
      </c>
      <c r="I45" s="464">
        <v>1099.75</v>
      </c>
      <c r="J45" s="464">
        <v>15</v>
      </c>
      <c r="K45" s="102">
        <f t="shared" si="7"/>
        <v>1153.8</v>
      </c>
      <c r="L45" s="50">
        <f t="shared" si="8"/>
        <v>4.1100000000000003</v>
      </c>
      <c r="M45" s="102">
        <f t="shared" si="9"/>
        <v>39.049999999999997</v>
      </c>
      <c r="N45" s="102">
        <f t="shared" si="10"/>
        <v>1099.75</v>
      </c>
      <c r="O45" s="102">
        <f t="shared" si="11"/>
        <v>15</v>
      </c>
      <c r="P45" s="103">
        <f t="shared" si="12"/>
        <v>1153.8</v>
      </c>
    </row>
    <row r="46" spans="1:16" s="56" customFormat="1" ht="30.15">
      <c r="A46" s="815">
        <v>14</v>
      </c>
      <c r="B46" s="674"/>
      <c r="C46" s="818" t="s">
        <v>1742</v>
      </c>
      <c r="D46" s="674" t="s">
        <v>1110</v>
      </c>
      <c r="E46" s="674">
        <v>1</v>
      </c>
      <c r="F46" s="462">
        <v>4.1100000000000003</v>
      </c>
      <c r="G46" s="463">
        <v>9.5</v>
      </c>
      <c r="H46" s="455">
        <f t="shared" ref="H46" si="32">ROUND(F46*G46,2)</f>
        <v>39.049999999999997</v>
      </c>
      <c r="I46" s="464">
        <v>1099.75</v>
      </c>
      <c r="J46" s="464">
        <v>15</v>
      </c>
      <c r="K46" s="102">
        <f t="shared" ref="K46" si="33">SUM(H46:J46)</f>
        <v>1153.8</v>
      </c>
      <c r="L46" s="50">
        <f t="shared" ref="L46" si="34">ROUND(F46*E46,2)</f>
        <v>4.1100000000000003</v>
      </c>
      <c r="M46" s="102">
        <f t="shared" ref="M46" si="35">ROUND(H46*E46,2)</f>
        <v>39.049999999999997</v>
      </c>
      <c r="N46" s="102">
        <f t="shared" ref="N46" si="36">ROUND(I46*E46,2)</f>
        <v>1099.75</v>
      </c>
      <c r="O46" s="102">
        <f t="shared" ref="O46" si="37">ROUND(J46*E46,2)</f>
        <v>15</v>
      </c>
      <c r="P46" s="103">
        <f t="shared" ref="P46" si="38">SUM(M46:O46)</f>
        <v>1153.8</v>
      </c>
    </row>
    <row r="47" spans="1:16" s="56" customFormat="1" ht="30.15">
      <c r="A47" s="815">
        <v>15</v>
      </c>
      <c r="B47" s="674"/>
      <c r="C47" s="818" t="s">
        <v>1743</v>
      </c>
      <c r="D47" s="674" t="s">
        <v>1110</v>
      </c>
      <c r="E47" s="674">
        <v>1</v>
      </c>
      <c r="F47" s="462">
        <v>4.1100000000000003</v>
      </c>
      <c r="G47" s="463">
        <v>9.5</v>
      </c>
      <c r="H47" s="455">
        <f t="shared" ref="H47" si="39">ROUND(F47*G47,2)</f>
        <v>39.049999999999997</v>
      </c>
      <c r="I47" s="464">
        <v>1099.75</v>
      </c>
      <c r="J47" s="464">
        <v>15</v>
      </c>
      <c r="K47" s="102">
        <f t="shared" ref="K47" si="40">SUM(H47:J47)</f>
        <v>1153.8</v>
      </c>
      <c r="L47" s="50">
        <f t="shared" ref="L47" si="41">ROUND(F47*E47,2)</f>
        <v>4.1100000000000003</v>
      </c>
      <c r="M47" s="102">
        <f t="shared" ref="M47" si="42">ROUND(H47*E47,2)</f>
        <v>39.049999999999997</v>
      </c>
      <c r="N47" s="102">
        <f t="shared" ref="N47" si="43">ROUND(I47*E47,2)</f>
        <v>1099.75</v>
      </c>
      <c r="O47" s="102">
        <f t="shared" ref="O47" si="44">ROUND(J47*E47,2)</f>
        <v>15</v>
      </c>
      <c r="P47" s="103">
        <f t="shared" ref="P47" si="45">SUM(M47:O47)</f>
        <v>1153.8</v>
      </c>
    </row>
    <row r="48" spans="1:16" s="56" customFormat="1" ht="30.15">
      <c r="A48" s="470">
        <v>16</v>
      </c>
      <c r="B48" s="471"/>
      <c r="C48" s="479" t="s">
        <v>1154</v>
      </c>
      <c r="D48" s="471" t="s">
        <v>1110</v>
      </c>
      <c r="E48" s="473">
        <v>1</v>
      </c>
      <c r="F48" s="462">
        <v>4.1100000000000003</v>
      </c>
      <c r="G48" s="463">
        <v>9.5</v>
      </c>
      <c r="H48" s="455">
        <f t="shared" si="6"/>
        <v>39.049999999999997</v>
      </c>
      <c r="I48" s="464">
        <v>1099.75</v>
      </c>
      <c r="J48" s="464">
        <v>15</v>
      </c>
      <c r="K48" s="102">
        <f t="shared" si="7"/>
        <v>1153.8</v>
      </c>
      <c r="L48" s="50">
        <f t="shared" si="8"/>
        <v>4.1100000000000003</v>
      </c>
      <c r="M48" s="102">
        <f t="shared" si="9"/>
        <v>39.049999999999997</v>
      </c>
      <c r="N48" s="102">
        <f t="shared" si="10"/>
        <v>1099.75</v>
      </c>
      <c r="O48" s="102">
        <f t="shared" si="11"/>
        <v>15</v>
      </c>
      <c r="P48" s="103">
        <f t="shared" si="12"/>
        <v>1153.8</v>
      </c>
    </row>
    <row r="49" spans="1:16" s="56" customFormat="1" ht="30.15">
      <c r="A49" s="470">
        <v>17</v>
      </c>
      <c r="B49" s="471"/>
      <c r="C49" s="479" t="s">
        <v>1155</v>
      </c>
      <c r="D49" s="471" t="s">
        <v>1110</v>
      </c>
      <c r="E49" s="473">
        <v>1</v>
      </c>
      <c r="F49" s="462">
        <v>4.1100000000000003</v>
      </c>
      <c r="G49" s="463">
        <v>9.5</v>
      </c>
      <c r="H49" s="455">
        <f t="shared" si="6"/>
        <v>39.049999999999997</v>
      </c>
      <c r="I49" s="464">
        <v>1097.25</v>
      </c>
      <c r="J49" s="464">
        <v>15</v>
      </c>
      <c r="K49" s="102">
        <f t="shared" si="7"/>
        <v>1151.3</v>
      </c>
      <c r="L49" s="50">
        <f t="shared" si="8"/>
        <v>4.1100000000000003</v>
      </c>
      <c r="M49" s="102">
        <f t="shared" si="9"/>
        <v>39.049999999999997</v>
      </c>
      <c r="N49" s="102">
        <f t="shared" si="10"/>
        <v>1097.25</v>
      </c>
      <c r="O49" s="102">
        <f t="shared" si="11"/>
        <v>15</v>
      </c>
      <c r="P49" s="103">
        <f t="shared" si="12"/>
        <v>1151.3</v>
      </c>
    </row>
    <row r="50" spans="1:16" s="56" customFormat="1" ht="30.15">
      <c r="A50" s="470">
        <v>18</v>
      </c>
      <c r="B50" s="471"/>
      <c r="C50" s="479" t="s">
        <v>1156</v>
      </c>
      <c r="D50" s="471" t="s">
        <v>1110</v>
      </c>
      <c r="E50" s="473">
        <v>1</v>
      </c>
      <c r="F50" s="462">
        <v>4.1100000000000003</v>
      </c>
      <c r="G50" s="463">
        <v>9.5</v>
      </c>
      <c r="H50" s="455">
        <f t="shared" si="6"/>
        <v>39.049999999999997</v>
      </c>
      <c r="I50" s="464">
        <v>1655.375</v>
      </c>
      <c r="J50" s="464">
        <v>15</v>
      </c>
      <c r="K50" s="102">
        <f t="shared" si="7"/>
        <v>1709.425</v>
      </c>
      <c r="L50" s="50">
        <f t="shared" si="8"/>
        <v>4.1100000000000003</v>
      </c>
      <c r="M50" s="102">
        <f t="shared" si="9"/>
        <v>39.049999999999997</v>
      </c>
      <c r="N50" s="102">
        <f t="shared" si="10"/>
        <v>1655.38</v>
      </c>
      <c r="O50" s="102">
        <f t="shared" si="11"/>
        <v>15</v>
      </c>
      <c r="P50" s="103">
        <f t="shared" si="12"/>
        <v>1709.43</v>
      </c>
    </row>
    <row r="51" spans="1:16" s="56" customFormat="1" ht="30.15">
      <c r="A51" s="470">
        <v>19</v>
      </c>
      <c r="B51" s="471"/>
      <c r="C51" s="479" t="s">
        <v>1157</v>
      </c>
      <c r="D51" s="471" t="s">
        <v>1110</v>
      </c>
      <c r="E51" s="473">
        <v>1</v>
      </c>
      <c r="F51" s="462">
        <v>4.1100000000000003</v>
      </c>
      <c r="G51" s="463">
        <v>9.5</v>
      </c>
      <c r="H51" s="455">
        <f t="shared" si="6"/>
        <v>39.049999999999997</v>
      </c>
      <c r="I51" s="464">
        <v>1767.75</v>
      </c>
      <c r="J51" s="464">
        <v>15</v>
      </c>
      <c r="K51" s="102">
        <f t="shared" si="7"/>
        <v>1821.8</v>
      </c>
      <c r="L51" s="50">
        <f t="shared" si="8"/>
        <v>4.1100000000000003</v>
      </c>
      <c r="M51" s="102">
        <f t="shared" si="9"/>
        <v>39.049999999999997</v>
      </c>
      <c r="N51" s="102">
        <f t="shared" si="10"/>
        <v>1767.75</v>
      </c>
      <c r="O51" s="102">
        <f t="shared" si="11"/>
        <v>15</v>
      </c>
      <c r="P51" s="103">
        <f t="shared" si="12"/>
        <v>1821.8</v>
      </c>
    </row>
    <row r="52" spans="1:16" s="56" customFormat="1" ht="30.15">
      <c r="A52" s="470">
        <v>20</v>
      </c>
      <c r="B52" s="471"/>
      <c r="C52" s="479" t="s">
        <v>1158</v>
      </c>
      <c r="D52" s="471" t="s">
        <v>1110</v>
      </c>
      <c r="E52" s="473">
        <v>1</v>
      </c>
      <c r="F52" s="462">
        <v>4.1100000000000003</v>
      </c>
      <c r="G52" s="463">
        <v>9.5</v>
      </c>
      <c r="H52" s="455">
        <f t="shared" si="6"/>
        <v>39.049999999999997</v>
      </c>
      <c r="I52" s="464">
        <v>1879.375</v>
      </c>
      <c r="J52" s="464">
        <v>15</v>
      </c>
      <c r="K52" s="102">
        <f t="shared" si="7"/>
        <v>1933.425</v>
      </c>
      <c r="L52" s="50">
        <f t="shared" si="8"/>
        <v>4.1100000000000003</v>
      </c>
      <c r="M52" s="102">
        <f t="shared" si="9"/>
        <v>39.049999999999997</v>
      </c>
      <c r="N52" s="102">
        <f t="shared" si="10"/>
        <v>1879.38</v>
      </c>
      <c r="O52" s="102">
        <f t="shared" si="11"/>
        <v>15</v>
      </c>
      <c r="P52" s="103">
        <f t="shared" si="12"/>
        <v>1933.43</v>
      </c>
    </row>
    <row r="53" spans="1:16" s="56" customFormat="1" ht="30.15">
      <c r="A53" s="470">
        <v>21</v>
      </c>
      <c r="B53" s="471"/>
      <c r="C53" s="479" t="s">
        <v>1159</v>
      </c>
      <c r="D53" s="471" t="s">
        <v>1110</v>
      </c>
      <c r="E53" s="473">
        <v>1</v>
      </c>
      <c r="F53" s="462">
        <v>4.1100000000000003</v>
      </c>
      <c r="G53" s="463">
        <v>9.5</v>
      </c>
      <c r="H53" s="455">
        <f t="shared" si="6"/>
        <v>39.049999999999997</v>
      </c>
      <c r="I53" s="464">
        <v>1879.375</v>
      </c>
      <c r="J53" s="464">
        <v>15</v>
      </c>
      <c r="K53" s="102">
        <f t="shared" si="7"/>
        <v>1933.425</v>
      </c>
      <c r="L53" s="50">
        <f t="shared" si="8"/>
        <v>4.1100000000000003</v>
      </c>
      <c r="M53" s="102">
        <f t="shared" si="9"/>
        <v>39.049999999999997</v>
      </c>
      <c r="N53" s="102">
        <f t="shared" si="10"/>
        <v>1879.38</v>
      </c>
      <c r="O53" s="102">
        <f t="shared" si="11"/>
        <v>15</v>
      </c>
      <c r="P53" s="103">
        <f t="shared" si="12"/>
        <v>1933.43</v>
      </c>
    </row>
    <row r="54" spans="1:16" s="56" customFormat="1" ht="30.15">
      <c r="A54" s="470">
        <v>22</v>
      </c>
      <c r="B54" s="471"/>
      <c r="C54" s="479" t="s">
        <v>1160</v>
      </c>
      <c r="D54" s="471" t="s">
        <v>1110</v>
      </c>
      <c r="E54" s="473">
        <v>1</v>
      </c>
      <c r="F54" s="462">
        <v>4.1100000000000003</v>
      </c>
      <c r="G54" s="463">
        <v>9.5</v>
      </c>
      <c r="H54" s="455">
        <f t="shared" si="6"/>
        <v>39.049999999999997</v>
      </c>
      <c r="I54" s="464">
        <v>1767.75</v>
      </c>
      <c r="J54" s="464">
        <v>15</v>
      </c>
      <c r="K54" s="102">
        <f t="shared" si="7"/>
        <v>1821.8</v>
      </c>
      <c r="L54" s="50">
        <f t="shared" si="8"/>
        <v>4.1100000000000003</v>
      </c>
      <c r="M54" s="102">
        <f t="shared" si="9"/>
        <v>39.049999999999997</v>
      </c>
      <c r="N54" s="102">
        <f t="shared" si="10"/>
        <v>1767.75</v>
      </c>
      <c r="O54" s="102">
        <f t="shared" si="11"/>
        <v>15</v>
      </c>
      <c r="P54" s="103">
        <f t="shared" si="12"/>
        <v>1821.8</v>
      </c>
    </row>
    <row r="55" spans="1:16" s="56" customFormat="1" ht="30.15">
      <c r="A55" s="470">
        <v>23</v>
      </c>
      <c r="B55" s="471"/>
      <c r="C55" s="479" t="s">
        <v>1161</v>
      </c>
      <c r="D55" s="471" t="s">
        <v>1110</v>
      </c>
      <c r="E55" s="473">
        <v>1</v>
      </c>
      <c r="F55" s="462">
        <v>4.1100000000000003</v>
      </c>
      <c r="G55" s="463">
        <v>9.5</v>
      </c>
      <c r="H55" s="455">
        <f t="shared" si="6"/>
        <v>39.049999999999997</v>
      </c>
      <c r="I55" s="464">
        <v>1655.375</v>
      </c>
      <c r="J55" s="464">
        <v>15</v>
      </c>
      <c r="K55" s="102">
        <f t="shared" si="7"/>
        <v>1709.425</v>
      </c>
      <c r="L55" s="50">
        <f t="shared" si="8"/>
        <v>4.1100000000000003</v>
      </c>
      <c r="M55" s="102">
        <f t="shared" si="9"/>
        <v>39.049999999999997</v>
      </c>
      <c r="N55" s="102">
        <f t="shared" si="10"/>
        <v>1655.38</v>
      </c>
      <c r="O55" s="102">
        <f t="shared" si="11"/>
        <v>15</v>
      </c>
      <c r="P55" s="103">
        <f t="shared" si="12"/>
        <v>1709.43</v>
      </c>
    </row>
    <row r="56" spans="1:16" s="56" customFormat="1" ht="30.15">
      <c r="A56" s="470">
        <v>24</v>
      </c>
      <c r="B56" s="471"/>
      <c r="C56" s="479" t="s">
        <v>1162</v>
      </c>
      <c r="D56" s="471" t="s">
        <v>1110</v>
      </c>
      <c r="E56" s="473">
        <v>1</v>
      </c>
      <c r="F56" s="462">
        <v>4.1100000000000003</v>
      </c>
      <c r="G56" s="463">
        <v>9.5</v>
      </c>
      <c r="H56" s="455">
        <f t="shared" ref="H56:H88" si="46">ROUND(F56*G56,2)</f>
        <v>39.049999999999997</v>
      </c>
      <c r="I56" s="464">
        <v>1097.25</v>
      </c>
      <c r="J56" s="464">
        <v>15</v>
      </c>
      <c r="K56" s="102">
        <f t="shared" si="7"/>
        <v>1151.3</v>
      </c>
      <c r="L56" s="50">
        <f t="shared" si="8"/>
        <v>4.1100000000000003</v>
      </c>
      <c r="M56" s="102">
        <f t="shared" si="9"/>
        <v>39.049999999999997</v>
      </c>
      <c r="N56" s="102">
        <f t="shared" si="10"/>
        <v>1097.25</v>
      </c>
      <c r="O56" s="102">
        <f t="shared" si="11"/>
        <v>15</v>
      </c>
      <c r="P56" s="103">
        <f t="shared" si="12"/>
        <v>1151.3</v>
      </c>
    </row>
    <row r="57" spans="1:16" s="56" customFormat="1" ht="30.15">
      <c r="A57" s="470">
        <v>25</v>
      </c>
      <c r="B57" s="471"/>
      <c r="C57" s="479" t="s">
        <v>1163</v>
      </c>
      <c r="D57" s="471" t="s">
        <v>1110</v>
      </c>
      <c r="E57" s="473">
        <v>1</v>
      </c>
      <c r="F57" s="462">
        <v>4.1100000000000003</v>
      </c>
      <c r="G57" s="463">
        <v>9.5</v>
      </c>
      <c r="H57" s="455">
        <f t="shared" si="46"/>
        <v>39.049999999999997</v>
      </c>
      <c r="I57" s="464">
        <v>1099.75</v>
      </c>
      <c r="J57" s="464">
        <v>15</v>
      </c>
      <c r="K57" s="102">
        <f t="shared" si="7"/>
        <v>1153.8</v>
      </c>
      <c r="L57" s="50">
        <f t="shared" si="8"/>
        <v>4.1100000000000003</v>
      </c>
      <c r="M57" s="102">
        <f t="shared" si="9"/>
        <v>39.049999999999997</v>
      </c>
      <c r="N57" s="102">
        <f t="shared" si="10"/>
        <v>1099.75</v>
      </c>
      <c r="O57" s="102">
        <f t="shared" si="11"/>
        <v>15</v>
      </c>
      <c r="P57" s="103">
        <f t="shared" si="12"/>
        <v>1153.8</v>
      </c>
    </row>
    <row r="58" spans="1:16" s="56" customFormat="1" ht="30.15">
      <c r="A58" s="470">
        <v>26</v>
      </c>
      <c r="B58" s="471"/>
      <c r="C58" s="479" t="s">
        <v>1164</v>
      </c>
      <c r="D58" s="471" t="s">
        <v>1110</v>
      </c>
      <c r="E58" s="473">
        <v>1</v>
      </c>
      <c r="F58" s="462">
        <v>4.1100000000000003</v>
      </c>
      <c r="G58" s="463">
        <v>9.5</v>
      </c>
      <c r="H58" s="455">
        <f t="shared" si="46"/>
        <v>39.049999999999997</v>
      </c>
      <c r="I58" s="464">
        <v>1099.75</v>
      </c>
      <c r="J58" s="464">
        <v>15</v>
      </c>
      <c r="K58" s="102">
        <f t="shared" si="7"/>
        <v>1153.8</v>
      </c>
      <c r="L58" s="50">
        <f t="shared" si="8"/>
        <v>4.1100000000000003</v>
      </c>
      <c r="M58" s="102">
        <f t="shared" si="9"/>
        <v>39.049999999999997</v>
      </c>
      <c r="N58" s="102">
        <f t="shared" si="10"/>
        <v>1099.75</v>
      </c>
      <c r="O58" s="102">
        <f t="shared" si="11"/>
        <v>15</v>
      </c>
      <c r="P58" s="103">
        <f t="shared" si="12"/>
        <v>1153.8</v>
      </c>
    </row>
    <row r="59" spans="1:16" s="56" customFormat="1" ht="30.15">
      <c r="A59" s="470">
        <v>27</v>
      </c>
      <c r="B59" s="471"/>
      <c r="C59" s="479" t="s">
        <v>1165</v>
      </c>
      <c r="D59" s="471" t="s">
        <v>1110</v>
      </c>
      <c r="E59" s="674">
        <v>1</v>
      </c>
      <c r="F59" s="462">
        <v>4.1100000000000003</v>
      </c>
      <c r="G59" s="463">
        <v>9.5</v>
      </c>
      <c r="H59" s="455">
        <f t="shared" si="46"/>
        <v>39.049999999999997</v>
      </c>
      <c r="I59" s="464">
        <v>1099.75</v>
      </c>
      <c r="J59" s="464">
        <v>15</v>
      </c>
      <c r="K59" s="102">
        <f t="shared" si="7"/>
        <v>1153.8</v>
      </c>
      <c r="L59" s="50">
        <f t="shared" si="8"/>
        <v>4.1100000000000003</v>
      </c>
      <c r="M59" s="102">
        <f t="shared" si="9"/>
        <v>39.049999999999997</v>
      </c>
      <c r="N59" s="102">
        <f t="shared" si="10"/>
        <v>1099.75</v>
      </c>
      <c r="O59" s="102">
        <f t="shared" si="11"/>
        <v>15</v>
      </c>
      <c r="P59" s="103">
        <f t="shared" si="12"/>
        <v>1153.8</v>
      </c>
    </row>
    <row r="60" spans="1:16" s="56" customFormat="1" ht="30.15">
      <c r="A60" s="815">
        <v>28</v>
      </c>
      <c r="B60" s="674"/>
      <c r="C60" s="818" t="s">
        <v>1166</v>
      </c>
      <c r="D60" s="674" t="s">
        <v>1110</v>
      </c>
      <c r="E60" s="674">
        <v>1</v>
      </c>
      <c r="F60" s="462">
        <v>4.1100000000000003</v>
      </c>
      <c r="G60" s="463">
        <v>9.5</v>
      </c>
      <c r="H60" s="455">
        <f t="shared" si="46"/>
        <v>39.049999999999997</v>
      </c>
      <c r="I60" s="464">
        <v>1099.75</v>
      </c>
      <c r="J60" s="464">
        <v>15</v>
      </c>
      <c r="K60" s="102">
        <f t="shared" si="7"/>
        <v>1153.8</v>
      </c>
      <c r="L60" s="50">
        <f t="shared" si="8"/>
        <v>4.1100000000000003</v>
      </c>
      <c r="M60" s="102">
        <f t="shared" si="9"/>
        <v>39.049999999999997</v>
      </c>
      <c r="N60" s="102">
        <f t="shared" si="10"/>
        <v>1099.75</v>
      </c>
      <c r="O60" s="102">
        <f t="shared" si="11"/>
        <v>15</v>
      </c>
      <c r="P60" s="103">
        <f t="shared" si="12"/>
        <v>1153.8</v>
      </c>
    </row>
    <row r="61" spans="1:16" s="56" customFormat="1" ht="30.15">
      <c r="A61" s="815">
        <v>29</v>
      </c>
      <c r="B61" s="674"/>
      <c r="C61" s="818" t="s">
        <v>1741</v>
      </c>
      <c r="D61" s="674" t="s">
        <v>1110</v>
      </c>
      <c r="E61" s="674">
        <v>1</v>
      </c>
      <c r="F61" s="462">
        <v>4.1100000000000003</v>
      </c>
      <c r="G61" s="463">
        <v>9.5</v>
      </c>
      <c r="H61" s="455">
        <f t="shared" ref="H61" si="47">ROUND(F61*G61,2)</f>
        <v>39.049999999999997</v>
      </c>
      <c r="I61" s="464">
        <v>1099.75</v>
      </c>
      <c r="J61" s="464">
        <v>15</v>
      </c>
      <c r="K61" s="102">
        <f t="shared" ref="K61" si="48">SUM(H61:J61)</f>
        <v>1153.8</v>
      </c>
      <c r="L61" s="50">
        <f t="shared" ref="L61" si="49">ROUND(F61*E61,2)</f>
        <v>4.1100000000000003</v>
      </c>
      <c r="M61" s="102">
        <f t="shared" ref="M61" si="50">ROUND(H61*E61,2)</f>
        <v>39.049999999999997</v>
      </c>
      <c r="N61" s="102">
        <f t="shared" ref="N61" si="51">ROUND(I61*E61,2)</f>
        <v>1099.75</v>
      </c>
      <c r="O61" s="102">
        <f t="shared" ref="O61" si="52">ROUND(J61*E61,2)</f>
        <v>15</v>
      </c>
      <c r="P61" s="103">
        <f t="shared" ref="P61" si="53">SUM(M61:O61)</f>
        <v>1153.8</v>
      </c>
    </row>
    <row r="62" spans="1:16" s="56" customFormat="1" ht="30.15">
      <c r="A62" s="470">
        <v>30</v>
      </c>
      <c r="B62" s="471"/>
      <c r="C62" s="479" t="s">
        <v>1167</v>
      </c>
      <c r="D62" s="471" t="s">
        <v>1110</v>
      </c>
      <c r="E62" s="473">
        <v>1</v>
      </c>
      <c r="F62" s="462">
        <v>4.1100000000000003</v>
      </c>
      <c r="G62" s="463">
        <v>9.5</v>
      </c>
      <c r="H62" s="455">
        <f t="shared" si="46"/>
        <v>39.049999999999997</v>
      </c>
      <c r="I62" s="464">
        <v>1099.75</v>
      </c>
      <c r="J62" s="464">
        <v>15</v>
      </c>
      <c r="K62" s="102">
        <f t="shared" si="7"/>
        <v>1153.8</v>
      </c>
      <c r="L62" s="50">
        <f t="shared" si="8"/>
        <v>4.1100000000000003</v>
      </c>
      <c r="M62" s="102">
        <f t="shared" si="9"/>
        <v>39.049999999999997</v>
      </c>
      <c r="N62" s="102">
        <f t="shared" si="10"/>
        <v>1099.75</v>
      </c>
      <c r="O62" s="102">
        <f t="shared" si="11"/>
        <v>15</v>
      </c>
      <c r="P62" s="103">
        <f t="shared" si="12"/>
        <v>1153.8</v>
      </c>
    </row>
    <row r="63" spans="1:16" s="56" customFormat="1" ht="30.15">
      <c r="A63" s="470">
        <v>31</v>
      </c>
      <c r="B63" s="471"/>
      <c r="C63" s="479" t="s">
        <v>1168</v>
      </c>
      <c r="D63" s="471" t="s">
        <v>1110</v>
      </c>
      <c r="E63" s="473">
        <v>1</v>
      </c>
      <c r="F63" s="462">
        <v>4.1100000000000003</v>
      </c>
      <c r="G63" s="463">
        <v>9.5</v>
      </c>
      <c r="H63" s="455">
        <f t="shared" si="46"/>
        <v>39.049999999999997</v>
      </c>
      <c r="I63" s="464">
        <v>1099.75</v>
      </c>
      <c r="J63" s="464">
        <v>15</v>
      </c>
      <c r="K63" s="102">
        <f t="shared" si="7"/>
        <v>1153.8</v>
      </c>
      <c r="L63" s="50">
        <f t="shared" si="8"/>
        <v>4.1100000000000003</v>
      </c>
      <c r="M63" s="102">
        <f t="shared" si="9"/>
        <v>39.049999999999997</v>
      </c>
      <c r="N63" s="102">
        <f t="shared" si="10"/>
        <v>1099.75</v>
      </c>
      <c r="O63" s="102">
        <f t="shared" si="11"/>
        <v>15</v>
      </c>
      <c r="P63" s="103">
        <f t="shared" si="12"/>
        <v>1153.8</v>
      </c>
    </row>
    <row r="64" spans="1:16" s="56" customFormat="1" ht="30.15">
      <c r="A64" s="470">
        <v>32</v>
      </c>
      <c r="B64" s="471"/>
      <c r="C64" s="479" t="s">
        <v>1169</v>
      </c>
      <c r="D64" s="471" t="s">
        <v>1110</v>
      </c>
      <c r="E64" s="473">
        <v>1</v>
      </c>
      <c r="F64" s="462">
        <v>4.1100000000000003</v>
      </c>
      <c r="G64" s="463">
        <v>9.5</v>
      </c>
      <c r="H64" s="455">
        <f t="shared" si="46"/>
        <v>39.049999999999997</v>
      </c>
      <c r="I64" s="464">
        <v>1099.75</v>
      </c>
      <c r="J64" s="464">
        <v>15</v>
      </c>
      <c r="K64" s="102">
        <f t="shared" si="7"/>
        <v>1153.8</v>
      </c>
      <c r="L64" s="50">
        <f t="shared" si="8"/>
        <v>4.1100000000000003</v>
      </c>
      <c r="M64" s="102">
        <f t="shared" si="9"/>
        <v>39.049999999999997</v>
      </c>
      <c r="N64" s="102">
        <f t="shared" si="10"/>
        <v>1099.75</v>
      </c>
      <c r="O64" s="102">
        <f t="shared" si="11"/>
        <v>15</v>
      </c>
      <c r="P64" s="103">
        <f t="shared" si="12"/>
        <v>1153.8</v>
      </c>
    </row>
    <row r="65" spans="1:16" s="56" customFormat="1" ht="30.15">
      <c r="A65" s="470">
        <v>33</v>
      </c>
      <c r="B65" s="471"/>
      <c r="C65" s="479" t="s">
        <v>1170</v>
      </c>
      <c r="D65" s="471" t="s">
        <v>1110</v>
      </c>
      <c r="E65" s="473">
        <v>1</v>
      </c>
      <c r="F65" s="462">
        <v>4.1100000000000003</v>
      </c>
      <c r="G65" s="463">
        <v>9.5</v>
      </c>
      <c r="H65" s="455">
        <f t="shared" si="46"/>
        <v>39.049999999999997</v>
      </c>
      <c r="I65" s="464">
        <v>1099.75</v>
      </c>
      <c r="J65" s="464">
        <v>15</v>
      </c>
      <c r="K65" s="102">
        <f t="shared" si="7"/>
        <v>1153.8</v>
      </c>
      <c r="L65" s="50">
        <f t="shared" si="8"/>
        <v>4.1100000000000003</v>
      </c>
      <c r="M65" s="102">
        <f t="shared" si="9"/>
        <v>39.049999999999997</v>
      </c>
      <c r="N65" s="102">
        <f t="shared" si="10"/>
        <v>1099.75</v>
      </c>
      <c r="O65" s="102">
        <f t="shared" si="11"/>
        <v>15</v>
      </c>
      <c r="P65" s="103">
        <f t="shared" si="12"/>
        <v>1153.8</v>
      </c>
    </row>
    <row r="66" spans="1:16" s="56" customFormat="1" ht="30.15">
      <c r="A66" s="470">
        <v>34</v>
      </c>
      <c r="B66" s="471"/>
      <c r="C66" s="479" t="s">
        <v>1171</v>
      </c>
      <c r="D66" s="471" t="s">
        <v>1110</v>
      </c>
      <c r="E66" s="473">
        <v>1</v>
      </c>
      <c r="F66" s="462">
        <v>4.1100000000000003</v>
      </c>
      <c r="G66" s="463">
        <v>9.5</v>
      </c>
      <c r="H66" s="455">
        <f t="shared" si="46"/>
        <v>39.049999999999997</v>
      </c>
      <c r="I66" s="464">
        <v>1099.75</v>
      </c>
      <c r="J66" s="464">
        <v>15</v>
      </c>
      <c r="K66" s="102">
        <f t="shared" si="7"/>
        <v>1153.8</v>
      </c>
      <c r="L66" s="50">
        <f t="shared" si="8"/>
        <v>4.1100000000000003</v>
      </c>
      <c r="M66" s="102">
        <f t="shared" si="9"/>
        <v>39.049999999999997</v>
      </c>
      <c r="N66" s="102">
        <f t="shared" si="10"/>
        <v>1099.75</v>
      </c>
      <c r="O66" s="102">
        <f t="shared" si="11"/>
        <v>15</v>
      </c>
      <c r="P66" s="103">
        <f t="shared" si="12"/>
        <v>1153.8</v>
      </c>
    </row>
    <row r="67" spans="1:16" s="56" customFormat="1" ht="30.15">
      <c r="A67" s="470">
        <v>35</v>
      </c>
      <c r="B67" s="471"/>
      <c r="C67" s="479" t="s">
        <v>1172</v>
      </c>
      <c r="D67" s="471" t="s">
        <v>1110</v>
      </c>
      <c r="E67" s="473">
        <v>1</v>
      </c>
      <c r="F67" s="462">
        <v>4.1100000000000003</v>
      </c>
      <c r="G67" s="463">
        <v>9.5</v>
      </c>
      <c r="H67" s="455">
        <f t="shared" si="46"/>
        <v>39.049999999999997</v>
      </c>
      <c r="I67" s="464">
        <v>1097.25</v>
      </c>
      <c r="J67" s="464">
        <v>15</v>
      </c>
      <c r="K67" s="102">
        <f t="shared" si="7"/>
        <v>1151.3</v>
      </c>
      <c r="L67" s="50">
        <f t="shared" si="8"/>
        <v>4.1100000000000003</v>
      </c>
      <c r="M67" s="102">
        <f t="shared" si="9"/>
        <v>39.049999999999997</v>
      </c>
      <c r="N67" s="102">
        <f t="shared" si="10"/>
        <v>1097.25</v>
      </c>
      <c r="O67" s="102">
        <f t="shared" si="11"/>
        <v>15</v>
      </c>
      <c r="P67" s="103">
        <f t="shared" si="12"/>
        <v>1151.3</v>
      </c>
    </row>
    <row r="68" spans="1:16" s="56" customFormat="1" ht="30.15">
      <c r="A68" s="470">
        <v>36</v>
      </c>
      <c r="B68" s="471"/>
      <c r="C68" s="479" t="s">
        <v>1173</v>
      </c>
      <c r="D68" s="471" t="s">
        <v>1110</v>
      </c>
      <c r="E68" s="473">
        <v>1</v>
      </c>
      <c r="F68" s="462">
        <v>4.1100000000000003</v>
      </c>
      <c r="G68" s="463">
        <v>9.5</v>
      </c>
      <c r="H68" s="455">
        <f t="shared" si="46"/>
        <v>39.049999999999997</v>
      </c>
      <c r="I68" s="464">
        <v>1655.375</v>
      </c>
      <c r="J68" s="464">
        <v>15</v>
      </c>
      <c r="K68" s="102">
        <f t="shared" si="7"/>
        <v>1709.425</v>
      </c>
      <c r="L68" s="50">
        <f t="shared" si="8"/>
        <v>4.1100000000000003</v>
      </c>
      <c r="M68" s="102">
        <f t="shared" si="9"/>
        <v>39.049999999999997</v>
      </c>
      <c r="N68" s="102">
        <f t="shared" si="10"/>
        <v>1655.38</v>
      </c>
      <c r="O68" s="102">
        <f t="shared" si="11"/>
        <v>15</v>
      </c>
      <c r="P68" s="103">
        <f t="shared" si="12"/>
        <v>1709.43</v>
      </c>
    </row>
    <row r="69" spans="1:16" s="56" customFormat="1" ht="30.15">
      <c r="A69" s="470">
        <v>37</v>
      </c>
      <c r="B69" s="471"/>
      <c r="C69" s="479" t="s">
        <v>1174</v>
      </c>
      <c r="D69" s="471" t="s">
        <v>1110</v>
      </c>
      <c r="E69" s="473">
        <v>1</v>
      </c>
      <c r="F69" s="462">
        <v>4.1100000000000003</v>
      </c>
      <c r="G69" s="463">
        <v>9.5</v>
      </c>
      <c r="H69" s="455">
        <f t="shared" si="46"/>
        <v>39.049999999999997</v>
      </c>
      <c r="I69" s="464">
        <v>1692.875</v>
      </c>
      <c r="J69" s="464">
        <v>15</v>
      </c>
      <c r="K69" s="102">
        <f t="shared" si="7"/>
        <v>1746.925</v>
      </c>
      <c r="L69" s="50">
        <f t="shared" si="8"/>
        <v>4.1100000000000003</v>
      </c>
      <c r="M69" s="102">
        <f t="shared" si="9"/>
        <v>39.049999999999997</v>
      </c>
      <c r="N69" s="102">
        <f t="shared" si="10"/>
        <v>1692.88</v>
      </c>
      <c r="O69" s="102">
        <f t="shared" si="11"/>
        <v>15</v>
      </c>
      <c r="P69" s="103">
        <f t="shared" si="12"/>
        <v>1746.93</v>
      </c>
    </row>
    <row r="70" spans="1:16" s="56" customFormat="1" ht="30.15">
      <c r="A70" s="470">
        <v>38</v>
      </c>
      <c r="B70" s="471"/>
      <c r="C70" s="479" t="s">
        <v>1175</v>
      </c>
      <c r="D70" s="471" t="s">
        <v>1110</v>
      </c>
      <c r="E70" s="473">
        <v>1</v>
      </c>
      <c r="F70" s="462">
        <v>4.1100000000000003</v>
      </c>
      <c r="G70" s="463">
        <v>9.5</v>
      </c>
      <c r="H70" s="455">
        <f t="shared" si="46"/>
        <v>39.049999999999997</v>
      </c>
      <c r="I70" s="464">
        <v>1879.375</v>
      </c>
      <c r="J70" s="464">
        <v>15</v>
      </c>
      <c r="K70" s="102">
        <f t="shared" si="7"/>
        <v>1933.425</v>
      </c>
      <c r="L70" s="50">
        <f t="shared" si="8"/>
        <v>4.1100000000000003</v>
      </c>
      <c r="M70" s="102">
        <f t="shared" si="9"/>
        <v>39.049999999999997</v>
      </c>
      <c r="N70" s="102">
        <f t="shared" si="10"/>
        <v>1879.38</v>
      </c>
      <c r="O70" s="102">
        <f t="shared" si="11"/>
        <v>15</v>
      </c>
      <c r="P70" s="103">
        <f t="shared" si="12"/>
        <v>1933.43</v>
      </c>
    </row>
    <row r="71" spans="1:16" s="56" customFormat="1" ht="30.15">
      <c r="A71" s="470">
        <v>39</v>
      </c>
      <c r="B71" s="471"/>
      <c r="C71" s="479" t="s">
        <v>1176</v>
      </c>
      <c r="D71" s="471" t="s">
        <v>1110</v>
      </c>
      <c r="E71" s="473">
        <v>1</v>
      </c>
      <c r="F71" s="462">
        <v>4.1100000000000003</v>
      </c>
      <c r="G71" s="463">
        <v>9.5</v>
      </c>
      <c r="H71" s="455">
        <f t="shared" si="46"/>
        <v>39.049999999999997</v>
      </c>
      <c r="I71" s="464">
        <v>1879.375</v>
      </c>
      <c r="J71" s="464">
        <v>15</v>
      </c>
      <c r="K71" s="102">
        <f t="shared" si="7"/>
        <v>1933.425</v>
      </c>
      <c r="L71" s="50">
        <f t="shared" si="8"/>
        <v>4.1100000000000003</v>
      </c>
      <c r="M71" s="102">
        <f t="shared" si="9"/>
        <v>39.049999999999997</v>
      </c>
      <c r="N71" s="102">
        <f t="shared" si="10"/>
        <v>1879.38</v>
      </c>
      <c r="O71" s="102">
        <f t="shared" si="11"/>
        <v>15</v>
      </c>
      <c r="P71" s="103">
        <f t="shared" si="12"/>
        <v>1933.43</v>
      </c>
    </row>
    <row r="72" spans="1:16" s="56" customFormat="1" ht="30.15">
      <c r="A72" s="470">
        <v>40</v>
      </c>
      <c r="B72" s="471"/>
      <c r="C72" s="479" t="s">
        <v>1177</v>
      </c>
      <c r="D72" s="471" t="s">
        <v>1110</v>
      </c>
      <c r="E72" s="473">
        <v>1</v>
      </c>
      <c r="F72" s="462">
        <v>4.1100000000000003</v>
      </c>
      <c r="G72" s="463">
        <v>9.5</v>
      </c>
      <c r="H72" s="455">
        <f t="shared" si="46"/>
        <v>39.049999999999997</v>
      </c>
      <c r="I72" s="464">
        <v>1692.875</v>
      </c>
      <c r="J72" s="464">
        <v>15</v>
      </c>
      <c r="K72" s="102">
        <f t="shared" si="7"/>
        <v>1746.925</v>
      </c>
      <c r="L72" s="50">
        <f t="shared" si="8"/>
        <v>4.1100000000000003</v>
      </c>
      <c r="M72" s="102">
        <f t="shared" si="9"/>
        <v>39.049999999999997</v>
      </c>
      <c r="N72" s="102">
        <f t="shared" si="10"/>
        <v>1692.88</v>
      </c>
      <c r="O72" s="102">
        <f t="shared" si="11"/>
        <v>15</v>
      </c>
      <c r="P72" s="103">
        <f t="shared" si="12"/>
        <v>1746.93</v>
      </c>
    </row>
    <row r="73" spans="1:16" s="56" customFormat="1" ht="30.15">
      <c r="A73" s="470">
        <v>41</v>
      </c>
      <c r="B73" s="471"/>
      <c r="C73" s="479" t="s">
        <v>1178</v>
      </c>
      <c r="D73" s="471" t="s">
        <v>1110</v>
      </c>
      <c r="E73" s="473">
        <v>1</v>
      </c>
      <c r="F73" s="462">
        <v>4.1100000000000003</v>
      </c>
      <c r="G73" s="463">
        <v>9.5</v>
      </c>
      <c r="H73" s="455">
        <f t="shared" si="46"/>
        <v>39.049999999999997</v>
      </c>
      <c r="I73" s="464">
        <v>1655.375</v>
      </c>
      <c r="J73" s="464">
        <v>15</v>
      </c>
      <c r="K73" s="102">
        <f t="shared" si="7"/>
        <v>1709.425</v>
      </c>
      <c r="L73" s="50">
        <f t="shared" si="8"/>
        <v>4.1100000000000003</v>
      </c>
      <c r="M73" s="102">
        <f t="shared" si="9"/>
        <v>39.049999999999997</v>
      </c>
      <c r="N73" s="102">
        <f t="shared" si="10"/>
        <v>1655.38</v>
      </c>
      <c r="O73" s="102">
        <f t="shared" si="11"/>
        <v>15</v>
      </c>
      <c r="P73" s="103">
        <f t="shared" si="12"/>
        <v>1709.43</v>
      </c>
    </row>
    <row r="74" spans="1:16" s="56" customFormat="1" ht="30.15">
      <c r="A74" s="470">
        <v>42</v>
      </c>
      <c r="B74" s="471"/>
      <c r="C74" s="479" t="s">
        <v>1179</v>
      </c>
      <c r="D74" s="471" t="s">
        <v>1110</v>
      </c>
      <c r="E74" s="473">
        <v>6</v>
      </c>
      <c r="F74" s="462">
        <v>4.1100000000000003</v>
      </c>
      <c r="G74" s="463">
        <v>9.5</v>
      </c>
      <c r="H74" s="455">
        <f t="shared" si="46"/>
        <v>39.049999999999997</v>
      </c>
      <c r="I74" s="464">
        <v>1203.75</v>
      </c>
      <c r="J74" s="464">
        <v>15</v>
      </c>
      <c r="K74" s="102">
        <f t="shared" si="7"/>
        <v>1257.8</v>
      </c>
      <c r="L74" s="50">
        <f t="shared" si="8"/>
        <v>24.66</v>
      </c>
      <c r="M74" s="102">
        <f t="shared" si="9"/>
        <v>234.3</v>
      </c>
      <c r="N74" s="102">
        <f t="shared" si="10"/>
        <v>7222.5</v>
      </c>
      <c r="O74" s="102">
        <f t="shared" si="11"/>
        <v>90</v>
      </c>
      <c r="P74" s="103">
        <f t="shared" si="12"/>
        <v>7546.8</v>
      </c>
    </row>
    <row r="75" spans="1:16" s="56" customFormat="1" ht="30.15">
      <c r="A75" s="470">
        <v>43</v>
      </c>
      <c r="B75" s="471"/>
      <c r="C75" s="479" t="s">
        <v>1180</v>
      </c>
      <c r="D75" s="471" t="s">
        <v>1110</v>
      </c>
      <c r="E75" s="473">
        <v>1</v>
      </c>
      <c r="F75" s="462">
        <v>4.1100000000000003</v>
      </c>
      <c r="G75" s="463">
        <v>9.5</v>
      </c>
      <c r="H75" s="455">
        <f t="shared" si="46"/>
        <v>39.049999999999997</v>
      </c>
      <c r="I75" s="464">
        <v>1244.125</v>
      </c>
      <c r="J75" s="464">
        <v>15</v>
      </c>
      <c r="K75" s="102">
        <f t="shared" si="7"/>
        <v>1298.175</v>
      </c>
      <c r="L75" s="50">
        <f t="shared" si="8"/>
        <v>4.1100000000000003</v>
      </c>
      <c r="M75" s="102">
        <f t="shared" si="9"/>
        <v>39.049999999999997</v>
      </c>
      <c r="N75" s="102">
        <f t="shared" si="10"/>
        <v>1244.1300000000001</v>
      </c>
      <c r="O75" s="102">
        <f t="shared" si="11"/>
        <v>15</v>
      </c>
      <c r="P75" s="103">
        <f t="shared" si="12"/>
        <v>1298.18</v>
      </c>
    </row>
    <row r="76" spans="1:16" s="56" customFormat="1" ht="30.15">
      <c r="A76" s="470">
        <v>44</v>
      </c>
      <c r="B76" s="471"/>
      <c r="C76" s="479" t="s">
        <v>1181</v>
      </c>
      <c r="D76" s="471" t="s">
        <v>1110</v>
      </c>
      <c r="E76" s="473">
        <v>1</v>
      </c>
      <c r="F76" s="462">
        <v>4.1100000000000003</v>
      </c>
      <c r="G76" s="463">
        <v>9.5</v>
      </c>
      <c r="H76" s="455">
        <f t="shared" si="46"/>
        <v>39.049999999999997</v>
      </c>
      <c r="I76" s="464">
        <v>1244.125</v>
      </c>
      <c r="J76" s="464">
        <v>15</v>
      </c>
      <c r="K76" s="102">
        <f t="shared" si="7"/>
        <v>1298.175</v>
      </c>
      <c r="L76" s="50">
        <f t="shared" si="8"/>
        <v>4.1100000000000003</v>
      </c>
      <c r="M76" s="102">
        <f t="shared" si="9"/>
        <v>39.049999999999997</v>
      </c>
      <c r="N76" s="102">
        <f t="shared" si="10"/>
        <v>1244.1300000000001</v>
      </c>
      <c r="O76" s="102">
        <f t="shared" si="11"/>
        <v>15</v>
      </c>
      <c r="P76" s="103">
        <f t="shared" si="12"/>
        <v>1298.18</v>
      </c>
    </row>
    <row r="77" spans="1:16" s="56" customFormat="1" ht="30.15">
      <c r="A77" s="470">
        <v>45</v>
      </c>
      <c r="B77" s="471"/>
      <c r="C77" s="479" t="s">
        <v>1182</v>
      </c>
      <c r="D77" s="471" t="s">
        <v>1110</v>
      </c>
      <c r="E77" s="473">
        <v>1</v>
      </c>
      <c r="F77" s="462">
        <v>4.1100000000000003</v>
      </c>
      <c r="G77" s="463">
        <v>9.5</v>
      </c>
      <c r="H77" s="455">
        <f t="shared" si="46"/>
        <v>39.049999999999997</v>
      </c>
      <c r="I77" s="464">
        <v>1244.125</v>
      </c>
      <c r="J77" s="464">
        <v>15</v>
      </c>
      <c r="K77" s="102">
        <f t="shared" si="7"/>
        <v>1298.175</v>
      </c>
      <c r="L77" s="50">
        <f t="shared" si="8"/>
        <v>4.1100000000000003</v>
      </c>
      <c r="M77" s="102">
        <f t="shared" si="9"/>
        <v>39.049999999999997</v>
      </c>
      <c r="N77" s="102">
        <f t="shared" si="10"/>
        <v>1244.1300000000001</v>
      </c>
      <c r="O77" s="102">
        <f t="shared" si="11"/>
        <v>15</v>
      </c>
      <c r="P77" s="103">
        <f t="shared" si="12"/>
        <v>1298.18</v>
      </c>
    </row>
    <row r="78" spans="1:16" s="56" customFormat="1" ht="30.15">
      <c r="A78" s="470">
        <v>46</v>
      </c>
      <c r="B78" s="471"/>
      <c r="C78" s="479" t="s">
        <v>1183</v>
      </c>
      <c r="D78" s="471" t="s">
        <v>1110</v>
      </c>
      <c r="E78" s="473">
        <v>1</v>
      </c>
      <c r="F78" s="462">
        <v>4.1100000000000003</v>
      </c>
      <c r="G78" s="463">
        <v>9.5</v>
      </c>
      <c r="H78" s="455">
        <f t="shared" si="46"/>
        <v>39.049999999999997</v>
      </c>
      <c r="I78" s="464">
        <v>1244.125</v>
      </c>
      <c r="J78" s="464">
        <v>15</v>
      </c>
      <c r="K78" s="102">
        <f t="shared" si="7"/>
        <v>1298.175</v>
      </c>
      <c r="L78" s="50">
        <f t="shared" si="8"/>
        <v>4.1100000000000003</v>
      </c>
      <c r="M78" s="102">
        <f t="shared" si="9"/>
        <v>39.049999999999997</v>
      </c>
      <c r="N78" s="102">
        <f t="shared" si="10"/>
        <v>1244.1300000000001</v>
      </c>
      <c r="O78" s="102">
        <f t="shared" si="11"/>
        <v>15</v>
      </c>
      <c r="P78" s="103">
        <f t="shared" si="12"/>
        <v>1298.18</v>
      </c>
    </row>
    <row r="79" spans="1:16" s="56" customFormat="1" ht="30.15">
      <c r="A79" s="470">
        <v>47</v>
      </c>
      <c r="B79" s="471"/>
      <c r="C79" s="479" t="s">
        <v>1184</v>
      </c>
      <c r="D79" s="471" t="s">
        <v>1110</v>
      </c>
      <c r="E79" s="473">
        <v>2</v>
      </c>
      <c r="F79" s="462">
        <v>4.1100000000000003</v>
      </c>
      <c r="G79" s="463">
        <v>9.5</v>
      </c>
      <c r="H79" s="455">
        <f t="shared" si="46"/>
        <v>39.049999999999997</v>
      </c>
      <c r="I79" s="464">
        <v>1244.125</v>
      </c>
      <c r="J79" s="464">
        <v>15</v>
      </c>
      <c r="K79" s="102">
        <f t="shared" si="7"/>
        <v>1298.175</v>
      </c>
      <c r="L79" s="50">
        <f t="shared" si="8"/>
        <v>8.2200000000000006</v>
      </c>
      <c r="M79" s="102">
        <f t="shared" si="9"/>
        <v>78.099999999999994</v>
      </c>
      <c r="N79" s="102">
        <f t="shared" si="10"/>
        <v>2488.25</v>
      </c>
      <c r="O79" s="102">
        <f t="shared" si="11"/>
        <v>30</v>
      </c>
      <c r="P79" s="103">
        <f t="shared" si="12"/>
        <v>2596.35</v>
      </c>
    </row>
    <row r="80" spans="1:16" s="56" customFormat="1" ht="30.15">
      <c r="A80" s="815">
        <v>48</v>
      </c>
      <c r="B80" s="674"/>
      <c r="C80" s="818" t="s">
        <v>1185</v>
      </c>
      <c r="D80" s="674" t="s">
        <v>1110</v>
      </c>
      <c r="E80" s="674">
        <v>1</v>
      </c>
      <c r="F80" s="462">
        <v>4.1100000000000003</v>
      </c>
      <c r="G80" s="463">
        <v>9.5</v>
      </c>
      <c r="H80" s="455">
        <f t="shared" si="46"/>
        <v>39.049999999999997</v>
      </c>
      <c r="I80" s="464">
        <v>1244.125</v>
      </c>
      <c r="J80" s="464">
        <v>15</v>
      </c>
      <c r="K80" s="102">
        <f t="shared" si="7"/>
        <v>1298.175</v>
      </c>
      <c r="L80" s="50">
        <f t="shared" si="8"/>
        <v>4.1100000000000003</v>
      </c>
      <c r="M80" s="102">
        <f t="shared" si="9"/>
        <v>39.049999999999997</v>
      </c>
      <c r="N80" s="102">
        <f t="shared" si="10"/>
        <v>1244.1300000000001</v>
      </c>
      <c r="O80" s="102">
        <f t="shared" si="11"/>
        <v>15</v>
      </c>
      <c r="P80" s="103">
        <f t="shared" si="12"/>
        <v>1298.18</v>
      </c>
    </row>
    <row r="81" spans="1:16" s="56" customFormat="1" ht="30.15">
      <c r="A81" s="470">
        <v>49</v>
      </c>
      <c r="B81" s="471"/>
      <c r="C81" s="479" t="s">
        <v>1186</v>
      </c>
      <c r="D81" s="471" t="s">
        <v>1110</v>
      </c>
      <c r="E81" s="473">
        <v>1</v>
      </c>
      <c r="F81" s="462">
        <v>4.1100000000000003</v>
      </c>
      <c r="G81" s="463">
        <v>9.5</v>
      </c>
      <c r="H81" s="455">
        <f t="shared" si="46"/>
        <v>39.049999999999997</v>
      </c>
      <c r="I81" s="464">
        <v>1244.125</v>
      </c>
      <c r="J81" s="464">
        <v>15</v>
      </c>
      <c r="K81" s="102">
        <f t="shared" si="7"/>
        <v>1298.175</v>
      </c>
      <c r="L81" s="50">
        <f t="shared" si="8"/>
        <v>4.1100000000000003</v>
      </c>
      <c r="M81" s="102">
        <f t="shared" si="9"/>
        <v>39.049999999999997</v>
      </c>
      <c r="N81" s="102">
        <f t="shared" si="10"/>
        <v>1244.1300000000001</v>
      </c>
      <c r="O81" s="102">
        <f t="shared" si="11"/>
        <v>15</v>
      </c>
      <c r="P81" s="103">
        <f t="shared" si="12"/>
        <v>1298.18</v>
      </c>
    </row>
    <row r="82" spans="1:16" s="56" customFormat="1" ht="15.05">
      <c r="A82" s="470">
        <v>0</v>
      </c>
      <c r="B82" s="471"/>
      <c r="C82" s="479"/>
      <c r="D82" s="471"/>
      <c r="E82" s="473"/>
      <c r="F82" s="462"/>
      <c r="G82" s="463"/>
      <c r="H82" s="455">
        <f t="shared" si="46"/>
        <v>0</v>
      </c>
      <c r="I82" s="464"/>
      <c r="J82" s="464"/>
      <c r="K82" s="102">
        <f t="shared" si="7"/>
        <v>0</v>
      </c>
      <c r="L82" s="50">
        <f t="shared" si="8"/>
        <v>0</v>
      </c>
      <c r="M82" s="102">
        <f t="shared" si="9"/>
        <v>0</v>
      </c>
      <c r="N82" s="102">
        <f t="shared" si="10"/>
        <v>0</v>
      </c>
      <c r="O82" s="102">
        <f t="shared" si="11"/>
        <v>0</v>
      </c>
      <c r="P82" s="103">
        <f t="shared" si="12"/>
        <v>0</v>
      </c>
    </row>
    <row r="83" spans="1:16" s="56" customFormat="1" ht="15.05">
      <c r="A83" s="481">
        <v>0</v>
      </c>
      <c r="B83" s="482"/>
      <c r="C83" s="816" t="s">
        <v>1979</v>
      </c>
      <c r="D83" s="482"/>
      <c r="E83" s="473"/>
      <c r="F83" s="462"/>
      <c r="G83" s="463"/>
      <c r="H83" s="455">
        <f t="shared" si="46"/>
        <v>0</v>
      </c>
      <c r="I83" s="464"/>
      <c r="J83" s="464"/>
      <c r="K83" s="102">
        <f t="shared" si="7"/>
        <v>0</v>
      </c>
      <c r="L83" s="50">
        <f t="shared" si="8"/>
        <v>0</v>
      </c>
      <c r="M83" s="102">
        <f t="shared" si="9"/>
        <v>0</v>
      </c>
      <c r="N83" s="102">
        <f t="shared" si="10"/>
        <v>0</v>
      </c>
      <c r="O83" s="102">
        <f t="shared" si="11"/>
        <v>0</v>
      </c>
      <c r="P83" s="103">
        <f t="shared" si="12"/>
        <v>0</v>
      </c>
    </row>
    <row r="84" spans="1:16" s="56" customFormat="1" ht="30.15">
      <c r="A84" s="470">
        <v>47</v>
      </c>
      <c r="B84" s="471"/>
      <c r="C84" s="479" t="s">
        <v>1187</v>
      </c>
      <c r="D84" s="471" t="s">
        <v>1110</v>
      </c>
      <c r="E84" s="473">
        <v>1</v>
      </c>
      <c r="F84" s="462">
        <v>4.1100000000000003</v>
      </c>
      <c r="G84" s="463">
        <v>9.5</v>
      </c>
      <c r="H84" s="455">
        <f t="shared" si="46"/>
        <v>39.049999999999997</v>
      </c>
      <c r="I84" s="464">
        <v>1784</v>
      </c>
      <c r="J84" s="464">
        <v>15</v>
      </c>
      <c r="K84" s="102">
        <f t="shared" si="7"/>
        <v>1838.05</v>
      </c>
      <c r="L84" s="50">
        <f t="shared" si="8"/>
        <v>4.1100000000000003</v>
      </c>
      <c r="M84" s="102">
        <f t="shared" si="9"/>
        <v>39.049999999999997</v>
      </c>
      <c r="N84" s="102">
        <f t="shared" si="10"/>
        <v>1784</v>
      </c>
      <c r="O84" s="102">
        <f t="shared" si="11"/>
        <v>15</v>
      </c>
      <c r="P84" s="103">
        <f t="shared" si="12"/>
        <v>1838.05</v>
      </c>
    </row>
    <row r="85" spans="1:16" s="56" customFormat="1" ht="30.15">
      <c r="A85" s="470">
        <v>48</v>
      </c>
      <c r="B85" s="471"/>
      <c r="C85" s="479" t="s">
        <v>1188</v>
      </c>
      <c r="D85" s="471" t="s">
        <v>1110</v>
      </c>
      <c r="E85" s="473">
        <v>3</v>
      </c>
      <c r="F85" s="462">
        <v>4.1100000000000003</v>
      </c>
      <c r="G85" s="463">
        <v>9.5</v>
      </c>
      <c r="H85" s="455">
        <f t="shared" si="46"/>
        <v>39.049999999999997</v>
      </c>
      <c r="I85" s="464">
        <v>1784</v>
      </c>
      <c r="J85" s="464">
        <v>15</v>
      </c>
      <c r="K85" s="102">
        <f t="shared" si="7"/>
        <v>1838.05</v>
      </c>
      <c r="L85" s="50">
        <f t="shared" si="8"/>
        <v>12.33</v>
      </c>
      <c r="M85" s="102">
        <f t="shared" si="9"/>
        <v>117.15</v>
      </c>
      <c r="N85" s="102">
        <f t="shared" si="10"/>
        <v>5352</v>
      </c>
      <c r="O85" s="102">
        <f t="shared" si="11"/>
        <v>45</v>
      </c>
      <c r="P85" s="103">
        <f t="shared" si="12"/>
        <v>5514.15</v>
      </c>
    </row>
    <row r="86" spans="1:16" s="56" customFormat="1" ht="30.15">
      <c r="A86" s="470">
        <v>49</v>
      </c>
      <c r="B86" s="471"/>
      <c r="C86" s="479" t="s">
        <v>1189</v>
      </c>
      <c r="D86" s="471" t="s">
        <v>1110</v>
      </c>
      <c r="E86" s="473">
        <v>2</v>
      </c>
      <c r="F86" s="462">
        <v>4.1100000000000003</v>
      </c>
      <c r="G86" s="463">
        <v>9.5</v>
      </c>
      <c r="H86" s="455">
        <f t="shared" si="46"/>
        <v>39.049999999999997</v>
      </c>
      <c r="I86" s="464">
        <v>1784</v>
      </c>
      <c r="J86" s="464">
        <v>15</v>
      </c>
      <c r="K86" s="102">
        <f t="shared" si="7"/>
        <v>1838.05</v>
      </c>
      <c r="L86" s="50">
        <f t="shared" si="8"/>
        <v>8.2200000000000006</v>
      </c>
      <c r="M86" s="102">
        <f t="shared" si="9"/>
        <v>78.099999999999994</v>
      </c>
      <c r="N86" s="102">
        <f t="shared" si="10"/>
        <v>3568</v>
      </c>
      <c r="O86" s="102">
        <f t="shared" si="11"/>
        <v>30</v>
      </c>
      <c r="P86" s="103">
        <f t="shared" si="12"/>
        <v>3676.1</v>
      </c>
    </row>
    <row r="87" spans="1:16" s="56" customFormat="1" ht="30.15">
      <c r="A87" s="470">
        <v>50</v>
      </c>
      <c r="B87" s="471"/>
      <c r="C87" s="479" t="s">
        <v>1190</v>
      </c>
      <c r="D87" s="471" t="s">
        <v>1110</v>
      </c>
      <c r="E87" s="473">
        <v>5</v>
      </c>
      <c r="F87" s="462">
        <v>4.1100000000000003</v>
      </c>
      <c r="G87" s="463">
        <v>9.5</v>
      </c>
      <c r="H87" s="455">
        <f t="shared" si="46"/>
        <v>39.049999999999997</v>
      </c>
      <c r="I87" s="464">
        <v>1784</v>
      </c>
      <c r="J87" s="464">
        <v>15</v>
      </c>
      <c r="K87" s="102">
        <f t="shared" si="7"/>
        <v>1838.05</v>
      </c>
      <c r="L87" s="50">
        <f t="shared" si="8"/>
        <v>20.55</v>
      </c>
      <c r="M87" s="102">
        <f t="shared" si="9"/>
        <v>195.25</v>
      </c>
      <c r="N87" s="102">
        <f t="shared" si="10"/>
        <v>8920</v>
      </c>
      <c r="O87" s="102">
        <f t="shared" si="11"/>
        <v>75</v>
      </c>
      <c r="P87" s="103">
        <f t="shared" si="12"/>
        <v>9190.25</v>
      </c>
    </row>
    <row r="88" spans="1:16" s="56" customFormat="1" ht="30.15">
      <c r="A88" s="470">
        <v>51</v>
      </c>
      <c r="B88" s="471"/>
      <c r="C88" s="479" t="s">
        <v>1191</v>
      </c>
      <c r="D88" s="471" t="s">
        <v>1110</v>
      </c>
      <c r="E88" s="473">
        <v>1</v>
      </c>
      <c r="F88" s="462">
        <v>4.1100000000000003</v>
      </c>
      <c r="G88" s="463">
        <v>9.5</v>
      </c>
      <c r="H88" s="455">
        <f t="shared" si="46"/>
        <v>39.049999999999997</v>
      </c>
      <c r="I88" s="464">
        <v>1784</v>
      </c>
      <c r="J88" s="464">
        <v>15</v>
      </c>
      <c r="K88" s="102">
        <f t="shared" si="7"/>
        <v>1838.05</v>
      </c>
      <c r="L88" s="50">
        <f t="shared" si="8"/>
        <v>4.1100000000000003</v>
      </c>
      <c r="M88" s="102">
        <f t="shared" si="9"/>
        <v>39.049999999999997</v>
      </c>
      <c r="N88" s="102">
        <f t="shared" si="10"/>
        <v>1784</v>
      </c>
      <c r="O88" s="102">
        <f t="shared" si="11"/>
        <v>15</v>
      </c>
      <c r="P88" s="103">
        <f t="shared" si="12"/>
        <v>1838.05</v>
      </c>
    </row>
    <row r="89" spans="1:16" s="56" customFormat="1">
      <c r="A89" s="474">
        <v>0</v>
      </c>
      <c r="B89" s="484"/>
      <c r="C89" s="485" t="s">
        <v>1192</v>
      </c>
      <c r="D89" s="486"/>
      <c r="E89" s="487"/>
      <c r="F89" s="462"/>
      <c r="G89" s="463"/>
      <c r="H89" s="455">
        <f t="shared" ref="H89:H120" si="54">ROUND(F89*G89,2)</f>
        <v>0</v>
      </c>
      <c r="I89" s="464"/>
      <c r="J89" s="464"/>
      <c r="K89" s="102">
        <f t="shared" si="7"/>
        <v>0</v>
      </c>
      <c r="L89" s="50">
        <f t="shared" si="8"/>
        <v>0</v>
      </c>
      <c r="M89" s="102">
        <f t="shared" si="9"/>
        <v>0</v>
      </c>
      <c r="N89" s="102">
        <f t="shared" si="10"/>
        <v>0</v>
      </c>
      <c r="O89" s="102">
        <f t="shared" si="11"/>
        <v>0</v>
      </c>
      <c r="P89" s="103">
        <f t="shared" si="12"/>
        <v>0</v>
      </c>
    </row>
    <row r="90" spans="1:16" s="56" customFormat="1" ht="24.9">
      <c r="A90" s="488">
        <v>52</v>
      </c>
      <c r="B90" s="489"/>
      <c r="C90" s="490" t="s">
        <v>1193</v>
      </c>
      <c r="D90" s="491" t="s">
        <v>29</v>
      </c>
      <c r="E90" s="487">
        <v>2031</v>
      </c>
      <c r="F90" s="462">
        <v>0.13</v>
      </c>
      <c r="G90" s="463">
        <v>9.5</v>
      </c>
      <c r="H90" s="455">
        <f t="shared" si="54"/>
        <v>1.24</v>
      </c>
      <c r="I90" s="464">
        <v>0.41</v>
      </c>
      <c r="J90" s="464">
        <v>1.44</v>
      </c>
      <c r="K90" s="102">
        <f t="shared" ref="K90:K147" si="55">SUM(H90:J90)</f>
        <v>3.09</v>
      </c>
      <c r="L90" s="50">
        <f t="shared" ref="L90:L147" si="56">ROUND(F90*E90,2)</f>
        <v>264.02999999999997</v>
      </c>
      <c r="M90" s="102">
        <f t="shared" ref="M90:M147" si="57">ROUND(H90*E90,2)</f>
        <v>2518.44</v>
      </c>
      <c r="N90" s="102">
        <f t="shared" ref="N90:N147" si="58">ROUND(I90*E90,2)</f>
        <v>832.71</v>
      </c>
      <c r="O90" s="102">
        <f t="shared" ref="O90:O147" si="59">ROUND(J90*E90,2)</f>
        <v>2924.64</v>
      </c>
      <c r="P90" s="103">
        <f t="shared" ref="P90:P147" si="60">SUM(M90:O90)</f>
        <v>6275.79</v>
      </c>
    </row>
    <row r="91" spans="1:16" s="56" customFormat="1" ht="62.2">
      <c r="A91" s="474">
        <v>53</v>
      </c>
      <c r="B91" s="489"/>
      <c r="C91" s="492" t="s">
        <v>1194</v>
      </c>
      <c r="D91" s="486" t="s">
        <v>29</v>
      </c>
      <c r="E91" s="487">
        <v>2031</v>
      </c>
      <c r="F91" s="462">
        <v>1</v>
      </c>
      <c r="G91" s="463">
        <v>9.5</v>
      </c>
      <c r="H91" s="455">
        <f t="shared" si="54"/>
        <v>9.5</v>
      </c>
      <c r="I91" s="464">
        <v>45.02</v>
      </c>
      <c r="J91" s="464">
        <v>1.31</v>
      </c>
      <c r="K91" s="102">
        <f t="shared" si="55"/>
        <v>55.830000000000005</v>
      </c>
      <c r="L91" s="50">
        <f t="shared" si="56"/>
        <v>2031</v>
      </c>
      <c r="M91" s="102">
        <f t="shared" si="57"/>
        <v>19294.5</v>
      </c>
      <c r="N91" s="102">
        <f t="shared" si="58"/>
        <v>91435.62</v>
      </c>
      <c r="O91" s="102">
        <f t="shared" si="59"/>
        <v>2660.61</v>
      </c>
      <c r="P91" s="103">
        <f t="shared" si="60"/>
        <v>113390.73</v>
      </c>
    </row>
    <row r="92" spans="1:16" s="56" customFormat="1" ht="37.35">
      <c r="A92" s="366">
        <v>54</v>
      </c>
      <c r="B92" s="493"/>
      <c r="C92" s="494" t="s">
        <v>1195</v>
      </c>
      <c r="D92" s="253" t="s">
        <v>29</v>
      </c>
      <c r="E92" s="495">
        <v>340</v>
      </c>
      <c r="F92" s="462">
        <v>0.32</v>
      </c>
      <c r="G92" s="463">
        <v>9.5</v>
      </c>
      <c r="H92" s="455">
        <f t="shared" si="54"/>
        <v>3.04</v>
      </c>
      <c r="I92" s="464">
        <v>2.4</v>
      </c>
      <c r="J92" s="464">
        <v>0.13</v>
      </c>
      <c r="K92" s="102">
        <f t="shared" si="55"/>
        <v>5.5699999999999994</v>
      </c>
      <c r="L92" s="50">
        <f t="shared" si="56"/>
        <v>108.8</v>
      </c>
      <c r="M92" s="102">
        <f t="shared" si="57"/>
        <v>1033.5999999999999</v>
      </c>
      <c r="N92" s="102">
        <f t="shared" si="58"/>
        <v>816</v>
      </c>
      <c r="O92" s="102">
        <f t="shared" si="59"/>
        <v>44.2</v>
      </c>
      <c r="P92" s="103">
        <f t="shared" si="60"/>
        <v>1893.8</v>
      </c>
    </row>
    <row r="93" spans="1:16" s="56" customFormat="1" ht="24.9">
      <c r="A93" s="474">
        <v>55</v>
      </c>
      <c r="B93" s="496"/>
      <c r="C93" s="492" t="s">
        <v>1196</v>
      </c>
      <c r="D93" s="486" t="s">
        <v>29</v>
      </c>
      <c r="E93" s="487">
        <v>340</v>
      </c>
      <c r="F93" s="462">
        <v>0.57999999999999996</v>
      </c>
      <c r="G93" s="463">
        <v>9.5</v>
      </c>
      <c r="H93" s="455">
        <f t="shared" si="54"/>
        <v>5.51</v>
      </c>
      <c r="I93" s="464">
        <v>0</v>
      </c>
      <c r="J93" s="464">
        <v>0.06</v>
      </c>
      <c r="K93" s="102">
        <f t="shared" si="55"/>
        <v>5.5699999999999994</v>
      </c>
      <c r="L93" s="50">
        <f t="shared" si="56"/>
        <v>197.2</v>
      </c>
      <c r="M93" s="102">
        <f t="shared" si="57"/>
        <v>1873.4</v>
      </c>
      <c r="N93" s="102">
        <f t="shared" si="58"/>
        <v>0</v>
      </c>
      <c r="O93" s="102">
        <f t="shared" si="59"/>
        <v>20.399999999999999</v>
      </c>
      <c r="P93" s="103">
        <f t="shared" si="60"/>
        <v>1893.8000000000002</v>
      </c>
    </row>
    <row r="94" spans="1:16" s="56" customFormat="1">
      <c r="A94" s="474">
        <v>0</v>
      </c>
      <c r="B94" s="496"/>
      <c r="C94" s="497" t="s">
        <v>1197</v>
      </c>
      <c r="D94" s="486" t="s">
        <v>1198</v>
      </c>
      <c r="E94" s="487">
        <f>0.07*E93</f>
        <v>23.8</v>
      </c>
      <c r="F94" s="462">
        <v>0</v>
      </c>
      <c r="G94" s="463">
        <v>0</v>
      </c>
      <c r="H94" s="455">
        <f t="shared" si="54"/>
        <v>0</v>
      </c>
      <c r="I94" s="464">
        <v>0.75</v>
      </c>
      <c r="J94" s="464">
        <v>0</v>
      </c>
      <c r="K94" s="102">
        <f t="shared" si="55"/>
        <v>0.75</v>
      </c>
      <c r="L94" s="50">
        <f t="shared" si="56"/>
        <v>0</v>
      </c>
      <c r="M94" s="102">
        <f t="shared" si="57"/>
        <v>0</v>
      </c>
      <c r="N94" s="102">
        <f t="shared" si="58"/>
        <v>17.850000000000001</v>
      </c>
      <c r="O94" s="102">
        <f t="shared" si="59"/>
        <v>0</v>
      </c>
      <c r="P94" s="103">
        <f t="shared" si="60"/>
        <v>17.850000000000001</v>
      </c>
    </row>
    <row r="95" spans="1:16" s="56" customFormat="1">
      <c r="A95" s="474">
        <v>0</v>
      </c>
      <c r="B95" s="496"/>
      <c r="C95" s="497" t="s">
        <v>1199</v>
      </c>
      <c r="D95" s="486" t="s">
        <v>1198</v>
      </c>
      <c r="E95" s="487">
        <f>0.15*E93</f>
        <v>51</v>
      </c>
      <c r="F95" s="462">
        <v>0</v>
      </c>
      <c r="G95" s="463">
        <v>0</v>
      </c>
      <c r="H95" s="455">
        <f t="shared" si="54"/>
        <v>0</v>
      </c>
      <c r="I95" s="464">
        <v>0.99</v>
      </c>
      <c r="J95" s="464">
        <v>0</v>
      </c>
      <c r="K95" s="102">
        <f t="shared" si="55"/>
        <v>0.99</v>
      </c>
      <c r="L95" s="50">
        <f t="shared" si="56"/>
        <v>0</v>
      </c>
      <c r="M95" s="102">
        <f t="shared" si="57"/>
        <v>0</v>
      </c>
      <c r="N95" s="102">
        <f t="shared" si="58"/>
        <v>50.49</v>
      </c>
      <c r="O95" s="102">
        <f t="shared" si="59"/>
        <v>0</v>
      </c>
      <c r="P95" s="103">
        <f t="shared" si="60"/>
        <v>50.49</v>
      </c>
    </row>
    <row r="96" spans="1:16" s="56" customFormat="1">
      <c r="A96" s="474">
        <v>0</v>
      </c>
      <c r="B96" s="496"/>
      <c r="C96" s="498" t="s">
        <v>1200</v>
      </c>
      <c r="D96" s="486" t="s">
        <v>29</v>
      </c>
      <c r="E96" s="487">
        <f>1.1*E93</f>
        <v>374.00000000000006</v>
      </c>
      <c r="F96" s="462">
        <v>0</v>
      </c>
      <c r="G96" s="463">
        <v>0</v>
      </c>
      <c r="H96" s="455">
        <f t="shared" si="54"/>
        <v>0</v>
      </c>
      <c r="I96" s="464">
        <v>2.98</v>
      </c>
      <c r="J96" s="464">
        <v>0</v>
      </c>
      <c r="K96" s="102">
        <f t="shared" si="55"/>
        <v>2.98</v>
      </c>
      <c r="L96" s="50">
        <f t="shared" si="56"/>
        <v>0</v>
      </c>
      <c r="M96" s="102">
        <f t="shared" si="57"/>
        <v>0</v>
      </c>
      <c r="N96" s="102">
        <f t="shared" si="58"/>
        <v>1114.52</v>
      </c>
      <c r="O96" s="102">
        <f t="shared" si="59"/>
        <v>0</v>
      </c>
      <c r="P96" s="103">
        <f t="shared" si="60"/>
        <v>1114.52</v>
      </c>
    </row>
    <row r="97" spans="1:16" s="56" customFormat="1">
      <c r="A97" s="474">
        <v>0</v>
      </c>
      <c r="B97" s="496"/>
      <c r="C97" s="498" t="s">
        <v>1200</v>
      </c>
      <c r="D97" s="486" t="s">
        <v>29</v>
      </c>
      <c r="E97" s="487">
        <f>E93*1.1</f>
        <v>374.00000000000006</v>
      </c>
      <c r="F97" s="462">
        <v>0</v>
      </c>
      <c r="G97" s="463">
        <v>0</v>
      </c>
      <c r="H97" s="455">
        <f t="shared" si="54"/>
        <v>0</v>
      </c>
      <c r="I97" s="464">
        <v>2.98</v>
      </c>
      <c r="J97" s="464">
        <v>0</v>
      </c>
      <c r="K97" s="102">
        <f t="shared" si="55"/>
        <v>2.98</v>
      </c>
      <c r="L97" s="50">
        <f t="shared" si="56"/>
        <v>0</v>
      </c>
      <c r="M97" s="102">
        <f t="shared" si="57"/>
        <v>0</v>
      </c>
      <c r="N97" s="102">
        <f t="shared" si="58"/>
        <v>1114.52</v>
      </c>
      <c r="O97" s="102">
        <f t="shared" si="59"/>
        <v>0</v>
      </c>
      <c r="P97" s="103">
        <f t="shared" si="60"/>
        <v>1114.52</v>
      </c>
    </row>
    <row r="98" spans="1:16" s="56" customFormat="1">
      <c r="A98" s="474">
        <v>0</v>
      </c>
      <c r="B98" s="484"/>
      <c r="C98" s="485" t="s">
        <v>1201</v>
      </c>
      <c r="D98" s="486"/>
      <c r="E98" s="487"/>
      <c r="F98" s="462"/>
      <c r="G98" s="463"/>
      <c r="H98" s="455">
        <f t="shared" si="54"/>
        <v>0</v>
      </c>
      <c r="I98" s="464"/>
      <c r="J98" s="464"/>
      <c r="K98" s="102">
        <f t="shared" si="55"/>
        <v>0</v>
      </c>
      <c r="L98" s="50">
        <f t="shared" si="56"/>
        <v>0</v>
      </c>
      <c r="M98" s="102">
        <f t="shared" si="57"/>
        <v>0</v>
      </c>
      <c r="N98" s="102">
        <f t="shared" si="58"/>
        <v>0</v>
      </c>
      <c r="O98" s="102">
        <f t="shared" si="59"/>
        <v>0</v>
      </c>
      <c r="P98" s="103">
        <f t="shared" si="60"/>
        <v>0</v>
      </c>
    </row>
    <row r="99" spans="1:16" s="56" customFormat="1" ht="24.9">
      <c r="A99" s="488">
        <v>56</v>
      </c>
      <c r="B99" s="489"/>
      <c r="C99" s="490" t="s">
        <v>1193</v>
      </c>
      <c r="D99" s="491" t="s">
        <v>29</v>
      </c>
      <c r="E99" s="487">
        <v>1782</v>
      </c>
      <c r="F99" s="462">
        <v>0.13</v>
      </c>
      <c r="G99" s="463">
        <v>9.5</v>
      </c>
      <c r="H99" s="455">
        <f t="shared" si="54"/>
        <v>1.24</v>
      </c>
      <c r="I99" s="464">
        <v>0.41</v>
      </c>
      <c r="J99" s="464">
        <v>1.44</v>
      </c>
      <c r="K99" s="102">
        <f t="shared" si="55"/>
        <v>3.09</v>
      </c>
      <c r="L99" s="50">
        <f t="shared" si="56"/>
        <v>231.66</v>
      </c>
      <c r="M99" s="102">
        <f t="shared" si="57"/>
        <v>2209.6799999999998</v>
      </c>
      <c r="N99" s="102">
        <f t="shared" si="58"/>
        <v>730.62</v>
      </c>
      <c r="O99" s="102">
        <f t="shared" si="59"/>
        <v>2566.08</v>
      </c>
      <c r="P99" s="103">
        <f t="shared" si="60"/>
        <v>5506.3799999999992</v>
      </c>
    </row>
    <row r="100" spans="1:16" s="56" customFormat="1" ht="74.650000000000006">
      <c r="A100" s="474">
        <v>57</v>
      </c>
      <c r="B100" s="489"/>
      <c r="C100" s="492" t="s">
        <v>1202</v>
      </c>
      <c r="D100" s="486" t="s">
        <v>29</v>
      </c>
      <c r="E100" s="487">
        <v>1782</v>
      </c>
      <c r="F100" s="462">
        <v>1</v>
      </c>
      <c r="G100" s="463">
        <v>9.5</v>
      </c>
      <c r="H100" s="455">
        <f t="shared" si="54"/>
        <v>9.5</v>
      </c>
      <c r="I100" s="464">
        <v>38.46</v>
      </c>
      <c r="J100" s="464">
        <v>1.31</v>
      </c>
      <c r="K100" s="102">
        <f t="shared" si="55"/>
        <v>49.27</v>
      </c>
      <c r="L100" s="50">
        <f t="shared" si="56"/>
        <v>1782</v>
      </c>
      <c r="M100" s="102">
        <f t="shared" si="57"/>
        <v>16929</v>
      </c>
      <c r="N100" s="102">
        <f t="shared" si="58"/>
        <v>68535.72</v>
      </c>
      <c r="O100" s="102">
        <f t="shared" si="59"/>
        <v>2334.42</v>
      </c>
      <c r="P100" s="103">
        <f t="shared" si="60"/>
        <v>87799.14</v>
      </c>
    </row>
    <row r="101" spans="1:16" s="56" customFormat="1">
      <c r="A101" s="474">
        <v>0</v>
      </c>
      <c r="B101" s="484"/>
      <c r="C101" s="485" t="s">
        <v>1203</v>
      </c>
      <c r="D101" s="486"/>
      <c r="E101" s="487"/>
      <c r="F101" s="462"/>
      <c r="G101" s="463"/>
      <c r="H101" s="455">
        <f t="shared" si="54"/>
        <v>0</v>
      </c>
      <c r="I101" s="464"/>
      <c r="J101" s="464"/>
      <c r="K101" s="102">
        <f t="shared" si="55"/>
        <v>0</v>
      </c>
      <c r="L101" s="50">
        <f t="shared" si="56"/>
        <v>0</v>
      </c>
      <c r="M101" s="102">
        <f t="shared" si="57"/>
        <v>0</v>
      </c>
      <c r="N101" s="102">
        <f t="shared" si="58"/>
        <v>0</v>
      </c>
      <c r="O101" s="102">
        <f t="shared" si="59"/>
        <v>0</v>
      </c>
      <c r="P101" s="103">
        <f t="shared" si="60"/>
        <v>0</v>
      </c>
    </row>
    <row r="102" spans="1:16" s="56" customFormat="1">
      <c r="A102" s="474">
        <v>58</v>
      </c>
      <c r="B102" s="499"/>
      <c r="C102" s="500" t="s">
        <v>1204</v>
      </c>
      <c r="D102" s="491" t="s">
        <v>884</v>
      </c>
      <c r="E102" s="487">
        <f>651*0.3</f>
        <v>195.29999999999998</v>
      </c>
      <c r="F102" s="622">
        <v>5.3</v>
      </c>
      <c r="G102" s="463">
        <v>9.5</v>
      </c>
      <c r="H102" s="455">
        <f t="shared" si="54"/>
        <v>50.35</v>
      </c>
      <c r="I102" s="464"/>
      <c r="J102" s="464">
        <v>1.31</v>
      </c>
      <c r="K102" s="102">
        <f t="shared" si="55"/>
        <v>51.660000000000004</v>
      </c>
      <c r="L102" s="50">
        <f t="shared" si="56"/>
        <v>1035.0899999999999</v>
      </c>
      <c r="M102" s="102">
        <f t="shared" si="57"/>
        <v>9833.36</v>
      </c>
      <c r="N102" s="102">
        <f t="shared" si="58"/>
        <v>0</v>
      </c>
      <c r="O102" s="102">
        <f t="shared" si="59"/>
        <v>255.84</v>
      </c>
      <c r="P102" s="103">
        <f t="shared" si="60"/>
        <v>10089.200000000001</v>
      </c>
    </row>
    <row r="103" spans="1:16" s="56" customFormat="1">
      <c r="A103" s="474">
        <v>0</v>
      </c>
      <c r="B103" s="499"/>
      <c r="C103" s="501" t="s">
        <v>1205</v>
      </c>
      <c r="D103" s="491" t="s">
        <v>884</v>
      </c>
      <c r="E103" s="487">
        <f>0.93*E102</f>
        <v>181.62899999999999</v>
      </c>
      <c r="F103" s="622"/>
      <c r="G103" s="463"/>
      <c r="H103" s="455">
        <f t="shared" si="54"/>
        <v>0</v>
      </c>
      <c r="I103" s="464">
        <v>80.2</v>
      </c>
      <c r="J103" s="464"/>
      <c r="K103" s="102">
        <f t="shared" si="55"/>
        <v>80.2</v>
      </c>
      <c r="L103" s="50">
        <f t="shared" si="56"/>
        <v>0</v>
      </c>
      <c r="M103" s="102">
        <f t="shared" si="57"/>
        <v>0</v>
      </c>
      <c r="N103" s="102">
        <f t="shared" si="58"/>
        <v>14566.65</v>
      </c>
      <c r="O103" s="102">
        <f t="shared" si="59"/>
        <v>0</v>
      </c>
      <c r="P103" s="103">
        <f t="shared" si="60"/>
        <v>14566.65</v>
      </c>
    </row>
    <row r="104" spans="1:16" s="56" customFormat="1">
      <c r="A104" s="474">
        <v>0</v>
      </c>
      <c r="B104" s="499"/>
      <c r="C104" s="501" t="s">
        <v>1206</v>
      </c>
      <c r="D104" s="491" t="s">
        <v>884</v>
      </c>
      <c r="E104" s="487">
        <f>0.15*E102</f>
        <v>29.294999999999995</v>
      </c>
      <c r="F104" s="622"/>
      <c r="G104" s="463"/>
      <c r="H104" s="455">
        <f t="shared" si="54"/>
        <v>0</v>
      </c>
      <c r="I104" s="464">
        <v>49.5</v>
      </c>
      <c r="J104" s="464"/>
      <c r="K104" s="102">
        <f t="shared" si="55"/>
        <v>49.5</v>
      </c>
      <c r="L104" s="50">
        <f t="shared" si="56"/>
        <v>0</v>
      </c>
      <c r="M104" s="102">
        <f t="shared" si="57"/>
        <v>0</v>
      </c>
      <c r="N104" s="102">
        <f t="shared" si="58"/>
        <v>1450.1</v>
      </c>
      <c r="O104" s="102">
        <f t="shared" si="59"/>
        <v>0</v>
      </c>
      <c r="P104" s="103">
        <f t="shared" si="60"/>
        <v>1450.1</v>
      </c>
    </row>
    <row r="105" spans="1:16" s="56" customFormat="1">
      <c r="A105" s="474">
        <v>0</v>
      </c>
      <c r="B105" s="499"/>
      <c r="C105" s="501" t="s">
        <v>1207</v>
      </c>
      <c r="D105" s="486" t="s">
        <v>111</v>
      </c>
      <c r="E105" s="487">
        <f>E102/0.3*2.2*2</f>
        <v>2864.4</v>
      </c>
      <c r="F105" s="622"/>
      <c r="G105" s="463"/>
      <c r="H105" s="455">
        <f t="shared" si="54"/>
        <v>0</v>
      </c>
      <c r="I105" s="464">
        <v>0.38</v>
      </c>
      <c r="J105" s="464"/>
      <c r="K105" s="102">
        <f t="shared" si="55"/>
        <v>0.38</v>
      </c>
      <c r="L105" s="50">
        <f t="shared" si="56"/>
        <v>0</v>
      </c>
      <c r="M105" s="102">
        <f t="shared" si="57"/>
        <v>0</v>
      </c>
      <c r="N105" s="102">
        <f t="shared" si="58"/>
        <v>1088.47</v>
      </c>
      <c r="O105" s="102">
        <f t="shared" si="59"/>
        <v>0</v>
      </c>
      <c r="P105" s="103">
        <f t="shared" si="60"/>
        <v>1088.47</v>
      </c>
    </row>
    <row r="106" spans="1:16" s="56" customFormat="1">
      <c r="A106" s="474">
        <v>0</v>
      </c>
      <c r="B106" s="484"/>
      <c r="C106" s="485" t="s">
        <v>1208</v>
      </c>
      <c r="D106" s="486"/>
      <c r="E106" s="487"/>
      <c r="F106" s="622"/>
      <c r="G106" s="463"/>
      <c r="H106" s="455">
        <f t="shared" si="54"/>
        <v>0</v>
      </c>
      <c r="I106" s="464"/>
      <c r="J106" s="464"/>
      <c r="K106" s="102">
        <f t="shared" si="55"/>
        <v>0</v>
      </c>
      <c r="L106" s="50">
        <f t="shared" si="56"/>
        <v>0</v>
      </c>
      <c r="M106" s="102">
        <f t="shared" si="57"/>
        <v>0</v>
      </c>
      <c r="N106" s="102">
        <f t="shared" si="58"/>
        <v>0</v>
      </c>
      <c r="O106" s="102">
        <f t="shared" si="59"/>
        <v>0</v>
      </c>
      <c r="P106" s="103">
        <f t="shared" si="60"/>
        <v>0</v>
      </c>
    </row>
    <row r="107" spans="1:16" s="56" customFormat="1">
      <c r="A107" s="474">
        <v>59</v>
      </c>
      <c r="B107" s="499"/>
      <c r="C107" s="500" t="s">
        <v>1209</v>
      </c>
      <c r="D107" s="491" t="s">
        <v>884</v>
      </c>
      <c r="E107" s="487">
        <f>57*0.2</f>
        <v>11.4</v>
      </c>
      <c r="F107" s="622">
        <v>5.3</v>
      </c>
      <c r="G107" s="463">
        <v>9.5</v>
      </c>
      <c r="H107" s="455">
        <f t="shared" si="54"/>
        <v>50.35</v>
      </c>
      <c r="I107" s="464"/>
      <c r="J107" s="464">
        <v>1.31</v>
      </c>
      <c r="K107" s="102">
        <f t="shared" si="55"/>
        <v>51.660000000000004</v>
      </c>
      <c r="L107" s="50">
        <f t="shared" si="56"/>
        <v>60.42</v>
      </c>
      <c r="M107" s="102">
        <f t="shared" si="57"/>
        <v>573.99</v>
      </c>
      <c r="N107" s="102">
        <f t="shared" si="58"/>
        <v>0</v>
      </c>
      <c r="O107" s="102">
        <f t="shared" si="59"/>
        <v>14.93</v>
      </c>
      <c r="P107" s="103">
        <f t="shared" si="60"/>
        <v>588.91999999999996</v>
      </c>
    </row>
    <row r="108" spans="1:16" s="56" customFormat="1">
      <c r="A108" s="474">
        <v>0</v>
      </c>
      <c r="B108" s="499"/>
      <c r="C108" s="501" t="s">
        <v>1210</v>
      </c>
      <c r="D108" s="491" t="s">
        <v>884</v>
      </c>
      <c r="E108" s="487">
        <f>0.93*E107</f>
        <v>10.602</v>
      </c>
      <c r="F108" s="622"/>
      <c r="G108" s="463"/>
      <c r="H108" s="455">
        <f t="shared" si="54"/>
        <v>0</v>
      </c>
      <c r="I108" s="464">
        <v>80.2</v>
      </c>
      <c r="J108" s="464"/>
      <c r="K108" s="102">
        <f t="shared" si="55"/>
        <v>80.2</v>
      </c>
      <c r="L108" s="50">
        <f t="shared" si="56"/>
        <v>0</v>
      </c>
      <c r="M108" s="102">
        <f t="shared" si="57"/>
        <v>0</v>
      </c>
      <c r="N108" s="102">
        <f t="shared" si="58"/>
        <v>850.28</v>
      </c>
      <c r="O108" s="102">
        <f t="shared" si="59"/>
        <v>0</v>
      </c>
      <c r="P108" s="103">
        <f t="shared" si="60"/>
        <v>850.28</v>
      </c>
    </row>
    <row r="109" spans="1:16" s="56" customFormat="1">
      <c r="A109" s="474">
        <v>0</v>
      </c>
      <c r="B109" s="499"/>
      <c r="C109" s="501" t="s">
        <v>1206</v>
      </c>
      <c r="D109" s="491" t="s">
        <v>884</v>
      </c>
      <c r="E109" s="487">
        <f>0.15*E107</f>
        <v>1.71</v>
      </c>
      <c r="F109" s="622"/>
      <c r="G109" s="463"/>
      <c r="H109" s="455">
        <f t="shared" si="54"/>
        <v>0</v>
      </c>
      <c r="I109" s="464">
        <v>49.5</v>
      </c>
      <c r="J109" s="464"/>
      <c r="K109" s="102">
        <f t="shared" si="55"/>
        <v>49.5</v>
      </c>
      <c r="L109" s="50">
        <f t="shared" si="56"/>
        <v>0</v>
      </c>
      <c r="M109" s="102">
        <f t="shared" si="57"/>
        <v>0</v>
      </c>
      <c r="N109" s="102">
        <f t="shared" si="58"/>
        <v>84.65</v>
      </c>
      <c r="O109" s="102">
        <f t="shared" si="59"/>
        <v>0</v>
      </c>
      <c r="P109" s="103">
        <f t="shared" si="60"/>
        <v>84.65</v>
      </c>
    </row>
    <row r="110" spans="1:16" s="56" customFormat="1">
      <c r="A110" s="474">
        <v>0</v>
      </c>
      <c r="B110" s="499"/>
      <c r="C110" s="501" t="s">
        <v>1207</v>
      </c>
      <c r="D110" s="486" t="s">
        <v>111</v>
      </c>
      <c r="E110" s="487">
        <f>E107/0.3*2.2*2</f>
        <v>167.20000000000002</v>
      </c>
      <c r="F110" s="622"/>
      <c r="G110" s="463"/>
      <c r="H110" s="455">
        <f t="shared" si="54"/>
        <v>0</v>
      </c>
      <c r="I110" s="464">
        <v>0.38</v>
      </c>
      <c r="J110" s="464"/>
      <c r="K110" s="102">
        <f t="shared" si="55"/>
        <v>0.38</v>
      </c>
      <c r="L110" s="50">
        <f t="shared" si="56"/>
        <v>0</v>
      </c>
      <c r="M110" s="102">
        <f t="shared" si="57"/>
        <v>0</v>
      </c>
      <c r="N110" s="102">
        <f t="shared" si="58"/>
        <v>63.54</v>
      </c>
      <c r="O110" s="102">
        <f t="shared" si="59"/>
        <v>0</v>
      </c>
      <c r="P110" s="103">
        <f t="shared" si="60"/>
        <v>63.54</v>
      </c>
    </row>
    <row r="111" spans="1:16" s="56" customFormat="1">
      <c r="A111" s="474">
        <v>0</v>
      </c>
      <c r="B111" s="484"/>
      <c r="C111" s="485" t="s">
        <v>1211</v>
      </c>
      <c r="D111" s="486"/>
      <c r="E111" s="487"/>
      <c r="F111" s="622"/>
      <c r="G111" s="463"/>
      <c r="H111" s="455">
        <f t="shared" si="54"/>
        <v>0</v>
      </c>
      <c r="I111" s="464"/>
      <c r="J111" s="464"/>
      <c r="K111" s="102">
        <f t="shared" si="55"/>
        <v>0</v>
      </c>
      <c r="L111" s="50">
        <f t="shared" si="56"/>
        <v>0</v>
      </c>
      <c r="M111" s="102">
        <f t="shared" si="57"/>
        <v>0</v>
      </c>
      <c r="N111" s="102">
        <f t="shared" si="58"/>
        <v>0</v>
      </c>
      <c r="O111" s="102">
        <f t="shared" si="59"/>
        <v>0</v>
      </c>
      <c r="P111" s="103">
        <f t="shared" si="60"/>
        <v>0</v>
      </c>
    </row>
    <row r="112" spans="1:16" s="56" customFormat="1" ht="37.35">
      <c r="A112" s="366">
        <v>60</v>
      </c>
      <c r="B112" s="493"/>
      <c r="C112" s="494" t="s">
        <v>1212</v>
      </c>
      <c r="D112" s="253" t="s">
        <v>29</v>
      </c>
      <c r="E112" s="495">
        <v>534</v>
      </c>
      <c r="F112" s="622">
        <v>0.32</v>
      </c>
      <c r="G112" s="463">
        <v>9.5</v>
      </c>
      <c r="H112" s="455">
        <f t="shared" si="54"/>
        <v>3.04</v>
      </c>
      <c r="I112" s="464">
        <v>3.12</v>
      </c>
      <c r="J112" s="464">
        <v>0.13</v>
      </c>
      <c r="K112" s="102">
        <f t="shared" si="55"/>
        <v>6.29</v>
      </c>
      <c r="L112" s="50">
        <f t="shared" si="56"/>
        <v>170.88</v>
      </c>
      <c r="M112" s="102">
        <f t="shared" si="57"/>
        <v>1623.36</v>
      </c>
      <c r="N112" s="102">
        <f t="shared" si="58"/>
        <v>1666.08</v>
      </c>
      <c r="O112" s="102">
        <f t="shared" si="59"/>
        <v>69.42</v>
      </c>
      <c r="P112" s="103">
        <f t="shared" si="60"/>
        <v>3358.8599999999997</v>
      </c>
    </row>
    <row r="113" spans="1:16" s="56" customFormat="1" ht="24.9">
      <c r="A113" s="474">
        <v>61</v>
      </c>
      <c r="B113" s="496"/>
      <c r="C113" s="490" t="s">
        <v>1213</v>
      </c>
      <c r="D113" s="486" t="s">
        <v>29</v>
      </c>
      <c r="E113" s="487">
        <f>E112</f>
        <v>534</v>
      </c>
      <c r="F113" s="462">
        <v>0.13</v>
      </c>
      <c r="G113" s="463">
        <v>9.5</v>
      </c>
      <c r="H113" s="455">
        <f t="shared" si="54"/>
        <v>1.24</v>
      </c>
      <c r="I113" s="464">
        <v>0</v>
      </c>
      <c r="J113" s="464">
        <v>0</v>
      </c>
      <c r="K113" s="102">
        <f t="shared" si="55"/>
        <v>1.24</v>
      </c>
      <c r="L113" s="50">
        <f t="shared" si="56"/>
        <v>69.42</v>
      </c>
      <c r="M113" s="102">
        <f t="shared" si="57"/>
        <v>662.16</v>
      </c>
      <c r="N113" s="102">
        <f t="shared" si="58"/>
        <v>0</v>
      </c>
      <c r="O113" s="102">
        <f t="shared" si="59"/>
        <v>0</v>
      </c>
      <c r="P113" s="103">
        <f t="shared" si="60"/>
        <v>662.16</v>
      </c>
    </row>
    <row r="114" spans="1:16" s="56" customFormat="1">
      <c r="A114" s="474">
        <v>0</v>
      </c>
      <c r="B114" s="496"/>
      <c r="C114" s="497" t="s">
        <v>1214</v>
      </c>
      <c r="D114" s="486" t="s">
        <v>29</v>
      </c>
      <c r="E114" s="487">
        <f>1.05*E113</f>
        <v>560.70000000000005</v>
      </c>
      <c r="F114" s="462">
        <v>0</v>
      </c>
      <c r="G114" s="463">
        <v>0</v>
      </c>
      <c r="H114" s="455">
        <f t="shared" si="54"/>
        <v>0</v>
      </c>
      <c r="I114" s="464">
        <v>2.94</v>
      </c>
      <c r="J114" s="464">
        <v>0</v>
      </c>
      <c r="K114" s="102">
        <f t="shared" si="55"/>
        <v>2.94</v>
      </c>
      <c r="L114" s="50">
        <f t="shared" si="56"/>
        <v>0</v>
      </c>
      <c r="M114" s="102">
        <f t="shared" si="57"/>
        <v>0</v>
      </c>
      <c r="N114" s="102">
        <f t="shared" si="58"/>
        <v>1648.46</v>
      </c>
      <c r="O114" s="102">
        <f t="shared" si="59"/>
        <v>0</v>
      </c>
      <c r="P114" s="103">
        <f t="shared" si="60"/>
        <v>1648.46</v>
      </c>
    </row>
    <row r="115" spans="1:16" s="56" customFormat="1">
      <c r="A115" s="474">
        <v>62</v>
      </c>
      <c r="B115" s="496"/>
      <c r="C115" s="490" t="s">
        <v>1215</v>
      </c>
      <c r="D115" s="486" t="s">
        <v>29</v>
      </c>
      <c r="E115" s="487">
        <f>E112*2</f>
        <v>1068</v>
      </c>
      <c r="F115" s="462">
        <v>0.57999999999999996</v>
      </c>
      <c r="G115" s="463">
        <v>9.5</v>
      </c>
      <c r="H115" s="455">
        <f t="shared" si="54"/>
        <v>5.51</v>
      </c>
      <c r="I115" s="464">
        <v>0</v>
      </c>
      <c r="J115" s="464">
        <v>0.06</v>
      </c>
      <c r="K115" s="102">
        <f t="shared" si="55"/>
        <v>5.5699999999999994</v>
      </c>
      <c r="L115" s="50">
        <f t="shared" si="56"/>
        <v>619.44000000000005</v>
      </c>
      <c r="M115" s="102">
        <f t="shared" si="57"/>
        <v>5884.68</v>
      </c>
      <c r="N115" s="102">
        <f t="shared" si="58"/>
        <v>0</v>
      </c>
      <c r="O115" s="102">
        <f t="shared" si="59"/>
        <v>64.08</v>
      </c>
      <c r="P115" s="103">
        <f t="shared" si="60"/>
        <v>5948.76</v>
      </c>
    </row>
    <row r="116" spans="1:16" s="56" customFormat="1">
      <c r="A116" s="474">
        <v>0</v>
      </c>
      <c r="B116" s="496"/>
      <c r="C116" s="497" t="s">
        <v>1197</v>
      </c>
      <c r="D116" s="486" t="s">
        <v>1198</v>
      </c>
      <c r="E116" s="487">
        <f>0.07*E115</f>
        <v>74.760000000000005</v>
      </c>
      <c r="F116" s="462">
        <v>0</v>
      </c>
      <c r="G116" s="463">
        <v>0</v>
      </c>
      <c r="H116" s="455">
        <f t="shared" si="54"/>
        <v>0</v>
      </c>
      <c r="I116" s="464">
        <v>0.75</v>
      </c>
      <c r="J116" s="464">
        <v>0</v>
      </c>
      <c r="K116" s="102">
        <f t="shared" si="55"/>
        <v>0.75</v>
      </c>
      <c r="L116" s="50">
        <f t="shared" si="56"/>
        <v>0</v>
      </c>
      <c r="M116" s="102">
        <f t="shared" si="57"/>
        <v>0</v>
      </c>
      <c r="N116" s="102">
        <f t="shared" si="58"/>
        <v>56.07</v>
      </c>
      <c r="O116" s="102">
        <f t="shared" si="59"/>
        <v>0</v>
      </c>
      <c r="P116" s="103">
        <f t="shared" si="60"/>
        <v>56.07</v>
      </c>
    </row>
    <row r="117" spans="1:16" s="56" customFormat="1">
      <c r="A117" s="474">
        <v>0</v>
      </c>
      <c r="B117" s="496"/>
      <c r="C117" s="497" t="s">
        <v>1199</v>
      </c>
      <c r="D117" s="486" t="s">
        <v>1198</v>
      </c>
      <c r="E117" s="487">
        <f>0.15*E115</f>
        <v>160.19999999999999</v>
      </c>
      <c r="F117" s="462">
        <v>0</v>
      </c>
      <c r="G117" s="463">
        <v>0</v>
      </c>
      <c r="H117" s="455">
        <f t="shared" si="54"/>
        <v>0</v>
      </c>
      <c r="I117" s="464">
        <v>0.99</v>
      </c>
      <c r="J117" s="464">
        <v>0</v>
      </c>
      <c r="K117" s="102">
        <f t="shared" si="55"/>
        <v>0.99</v>
      </c>
      <c r="L117" s="50">
        <f t="shared" si="56"/>
        <v>0</v>
      </c>
      <c r="M117" s="102">
        <f t="shared" si="57"/>
        <v>0</v>
      </c>
      <c r="N117" s="102">
        <f t="shared" si="58"/>
        <v>158.6</v>
      </c>
      <c r="O117" s="102">
        <f t="shared" si="59"/>
        <v>0</v>
      </c>
      <c r="P117" s="103">
        <f t="shared" si="60"/>
        <v>158.6</v>
      </c>
    </row>
    <row r="118" spans="1:16" s="56" customFormat="1">
      <c r="A118" s="474">
        <v>0</v>
      </c>
      <c r="B118" s="496"/>
      <c r="C118" s="498" t="s">
        <v>1200</v>
      </c>
      <c r="D118" s="486" t="s">
        <v>29</v>
      </c>
      <c r="E118" s="487">
        <f>1.1*E115</f>
        <v>1174.8000000000002</v>
      </c>
      <c r="F118" s="462">
        <v>0</v>
      </c>
      <c r="G118" s="463">
        <v>0</v>
      </c>
      <c r="H118" s="455">
        <f t="shared" si="54"/>
        <v>0</v>
      </c>
      <c r="I118" s="464">
        <v>2.98</v>
      </c>
      <c r="J118" s="464">
        <v>0</v>
      </c>
      <c r="K118" s="102">
        <f t="shared" si="55"/>
        <v>2.98</v>
      </c>
      <c r="L118" s="50">
        <f t="shared" si="56"/>
        <v>0</v>
      </c>
      <c r="M118" s="102">
        <f t="shared" si="57"/>
        <v>0</v>
      </c>
      <c r="N118" s="102">
        <f t="shared" si="58"/>
        <v>3500.9</v>
      </c>
      <c r="O118" s="102">
        <f t="shared" si="59"/>
        <v>0</v>
      </c>
      <c r="P118" s="103">
        <f t="shared" si="60"/>
        <v>3500.9</v>
      </c>
    </row>
    <row r="119" spans="1:16" s="56" customFormat="1">
      <c r="A119" s="474">
        <v>0</v>
      </c>
      <c r="B119" s="496"/>
      <c r="C119" s="498" t="s">
        <v>1200</v>
      </c>
      <c r="D119" s="486" t="s">
        <v>29</v>
      </c>
      <c r="E119" s="487">
        <f>E115*1.1</f>
        <v>1174.8000000000002</v>
      </c>
      <c r="F119" s="462">
        <v>0</v>
      </c>
      <c r="G119" s="463">
        <v>0</v>
      </c>
      <c r="H119" s="455">
        <f t="shared" si="54"/>
        <v>0</v>
      </c>
      <c r="I119" s="464">
        <v>2.98</v>
      </c>
      <c r="J119" s="464">
        <v>0</v>
      </c>
      <c r="K119" s="102">
        <f t="shared" si="55"/>
        <v>2.98</v>
      </c>
      <c r="L119" s="50">
        <f t="shared" si="56"/>
        <v>0</v>
      </c>
      <c r="M119" s="102">
        <f t="shared" si="57"/>
        <v>0</v>
      </c>
      <c r="N119" s="102">
        <f t="shared" si="58"/>
        <v>3500.9</v>
      </c>
      <c r="O119" s="102">
        <f t="shared" si="59"/>
        <v>0</v>
      </c>
      <c r="P119" s="103">
        <f t="shared" si="60"/>
        <v>3500.9</v>
      </c>
    </row>
    <row r="120" spans="1:16" s="56" customFormat="1">
      <c r="A120" s="474">
        <v>0</v>
      </c>
      <c r="B120" s="484"/>
      <c r="C120" s="485" t="s">
        <v>1216</v>
      </c>
      <c r="D120" s="486"/>
      <c r="E120" s="487"/>
      <c r="F120" s="462"/>
      <c r="G120" s="463"/>
      <c r="H120" s="455">
        <f t="shared" si="54"/>
        <v>0</v>
      </c>
      <c r="I120" s="464"/>
      <c r="J120" s="464"/>
      <c r="K120" s="102">
        <f t="shared" si="55"/>
        <v>0</v>
      </c>
      <c r="L120" s="50">
        <f t="shared" si="56"/>
        <v>0</v>
      </c>
      <c r="M120" s="102">
        <f t="shared" si="57"/>
        <v>0</v>
      </c>
      <c r="N120" s="102">
        <f t="shared" si="58"/>
        <v>0</v>
      </c>
      <c r="O120" s="102">
        <f t="shared" si="59"/>
        <v>0</v>
      </c>
      <c r="P120" s="103">
        <f t="shared" si="60"/>
        <v>0</v>
      </c>
    </row>
    <row r="121" spans="1:16" s="56" customFormat="1" ht="37.35">
      <c r="A121" s="366">
        <v>63</v>
      </c>
      <c r="B121" s="493"/>
      <c r="C121" s="494" t="s">
        <v>1212</v>
      </c>
      <c r="D121" s="253" t="s">
        <v>29</v>
      </c>
      <c r="E121" s="495">
        <v>426</v>
      </c>
      <c r="F121" s="462">
        <v>0.32</v>
      </c>
      <c r="G121" s="463">
        <v>9.5</v>
      </c>
      <c r="H121" s="455">
        <f t="shared" ref="H121:H146" si="61">ROUND(F121*G121,2)</f>
        <v>3.04</v>
      </c>
      <c r="I121" s="464">
        <v>3.12</v>
      </c>
      <c r="J121" s="464">
        <v>0.13</v>
      </c>
      <c r="K121" s="102">
        <f t="shared" si="55"/>
        <v>6.29</v>
      </c>
      <c r="L121" s="50">
        <f t="shared" si="56"/>
        <v>136.32</v>
      </c>
      <c r="M121" s="102">
        <f t="shared" si="57"/>
        <v>1295.04</v>
      </c>
      <c r="N121" s="102">
        <f t="shared" si="58"/>
        <v>1329.12</v>
      </c>
      <c r="O121" s="102">
        <f t="shared" si="59"/>
        <v>55.38</v>
      </c>
      <c r="P121" s="103">
        <f t="shared" si="60"/>
        <v>2679.54</v>
      </c>
    </row>
    <row r="122" spans="1:16" s="56" customFormat="1" ht="24.9">
      <c r="A122" s="474">
        <v>64</v>
      </c>
      <c r="B122" s="496"/>
      <c r="C122" s="490" t="s">
        <v>1213</v>
      </c>
      <c r="D122" s="486" t="s">
        <v>29</v>
      </c>
      <c r="E122" s="487">
        <f>E121</f>
        <v>426</v>
      </c>
      <c r="F122" s="462">
        <v>0.13</v>
      </c>
      <c r="G122" s="463">
        <v>9.5</v>
      </c>
      <c r="H122" s="455">
        <f t="shared" si="61"/>
        <v>1.24</v>
      </c>
      <c r="I122" s="464">
        <v>0</v>
      </c>
      <c r="J122" s="464">
        <v>0</v>
      </c>
      <c r="K122" s="102">
        <f t="shared" si="55"/>
        <v>1.24</v>
      </c>
      <c r="L122" s="50">
        <f t="shared" si="56"/>
        <v>55.38</v>
      </c>
      <c r="M122" s="102">
        <f t="shared" si="57"/>
        <v>528.24</v>
      </c>
      <c r="N122" s="102">
        <f t="shared" si="58"/>
        <v>0</v>
      </c>
      <c r="O122" s="102">
        <f t="shared" si="59"/>
        <v>0</v>
      </c>
      <c r="P122" s="103">
        <f t="shared" si="60"/>
        <v>528.24</v>
      </c>
    </row>
    <row r="123" spans="1:16" s="56" customFormat="1">
      <c r="A123" s="474">
        <v>0</v>
      </c>
      <c r="B123" s="496"/>
      <c r="C123" s="497" t="s">
        <v>1214</v>
      </c>
      <c r="D123" s="486" t="s">
        <v>29</v>
      </c>
      <c r="E123" s="487">
        <f>1.05*E122</f>
        <v>447.3</v>
      </c>
      <c r="F123" s="462">
        <v>0</v>
      </c>
      <c r="G123" s="463">
        <v>0</v>
      </c>
      <c r="H123" s="455">
        <f t="shared" si="61"/>
        <v>0</v>
      </c>
      <c r="I123" s="464">
        <v>2.94</v>
      </c>
      <c r="J123" s="464">
        <v>0</v>
      </c>
      <c r="K123" s="102">
        <f t="shared" si="55"/>
        <v>2.94</v>
      </c>
      <c r="L123" s="50">
        <f t="shared" si="56"/>
        <v>0</v>
      </c>
      <c r="M123" s="102">
        <f t="shared" si="57"/>
        <v>0</v>
      </c>
      <c r="N123" s="102">
        <f t="shared" si="58"/>
        <v>1315.06</v>
      </c>
      <c r="O123" s="102">
        <f t="shared" si="59"/>
        <v>0</v>
      </c>
      <c r="P123" s="103">
        <f t="shared" si="60"/>
        <v>1315.06</v>
      </c>
    </row>
    <row r="124" spans="1:16" s="56" customFormat="1">
      <c r="A124" s="474">
        <v>65</v>
      </c>
      <c r="B124" s="496"/>
      <c r="C124" s="490" t="s">
        <v>1215</v>
      </c>
      <c r="D124" s="486" t="s">
        <v>29</v>
      </c>
      <c r="E124" s="487">
        <f>E121*2</f>
        <v>852</v>
      </c>
      <c r="F124" s="462">
        <v>0.57999999999999996</v>
      </c>
      <c r="G124" s="463">
        <v>9.5</v>
      </c>
      <c r="H124" s="455">
        <f t="shared" si="61"/>
        <v>5.51</v>
      </c>
      <c r="I124" s="464">
        <v>0</v>
      </c>
      <c r="J124" s="464">
        <v>0.06</v>
      </c>
      <c r="K124" s="102">
        <f t="shared" si="55"/>
        <v>5.5699999999999994</v>
      </c>
      <c r="L124" s="50">
        <f t="shared" si="56"/>
        <v>494.16</v>
      </c>
      <c r="M124" s="102">
        <f t="shared" si="57"/>
        <v>4694.5200000000004</v>
      </c>
      <c r="N124" s="102">
        <f t="shared" si="58"/>
        <v>0</v>
      </c>
      <c r="O124" s="102">
        <f t="shared" si="59"/>
        <v>51.12</v>
      </c>
      <c r="P124" s="103">
        <f t="shared" si="60"/>
        <v>4745.6400000000003</v>
      </c>
    </row>
    <row r="125" spans="1:16" s="56" customFormat="1">
      <c r="A125" s="474">
        <v>0</v>
      </c>
      <c r="B125" s="496"/>
      <c r="C125" s="497" t="s">
        <v>1197</v>
      </c>
      <c r="D125" s="486" t="s">
        <v>1198</v>
      </c>
      <c r="E125" s="487">
        <f>0.07*E124</f>
        <v>59.640000000000008</v>
      </c>
      <c r="F125" s="462">
        <v>0</v>
      </c>
      <c r="G125" s="463">
        <v>0</v>
      </c>
      <c r="H125" s="455">
        <f t="shared" si="61"/>
        <v>0</v>
      </c>
      <c r="I125" s="464">
        <v>0.75</v>
      </c>
      <c r="J125" s="464">
        <v>0</v>
      </c>
      <c r="K125" s="102">
        <f t="shared" si="55"/>
        <v>0.75</v>
      </c>
      <c r="L125" s="50">
        <f t="shared" si="56"/>
        <v>0</v>
      </c>
      <c r="M125" s="102">
        <f t="shared" si="57"/>
        <v>0</v>
      </c>
      <c r="N125" s="102">
        <f t="shared" si="58"/>
        <v>44.73</v>
      </c>
      <c r="O125" s="102">
        <f t="shared" si="59"/>
        <v>0</v>
      </c>
      <c r="P125" s="103">
        <f t="shared" si="60"/>
        <v>44.73</v>
      </c>
    </row>
    <row r="126" spans="1:16" s="56" customFormat="1">
      <c r="A126" s="474">
        <v>0</v>
      </c>
      <c r="B126" s="496"/>
      <c r="C126" s="497" t="s">
        <v>1199</v>
      </c>
      <c r="D126" s="486" t="s">
        <v>1198</v>
      </c>
      <c r="E126" s="487">
        <f>0.15*E124</f>
        <v>127.8</v>
      </c>
      <c r="F126" s="462">
        <v>0</v>
      </c>
      <c r="G126" s="463">
        <v>0</v>
      </c>
      <c r="H126" s="455">
        <f t="shared" si="61"/>
        <v>0</v>
      </c>
      <c r="I126" s="464">
        <v>0.99</v>
      </c>
      <c r="J126" s="464">
        <v>0</v>
      </c>
      <c r="K126" s="102">
        <f t="shared" si="55"/>
        <v>0.99</v>
      </c>
      <c r="L126" s="50">
        <f t="shared" si="56"/>
        <v>0</v>
      </c>
      <c r="M126" s="102">
        <f t="shared" si="57"/>
        <v>0</v>
      </c>
      <c r="N126" s="102">
        <f t="shared" si="58"/>
        <v>126.52</v>
      </c>
      <c r="O126" s="102">
        <f t="shared" si="59"/>
        <v>0</v>
      </c>
      <c r="P126" s="103">
        <f t="shared" si="60"/>
        <v>126.52</v>
      </c>
    </row>
    <row r="127" spans="1:16" s="56" customFormat="1">
      <c r="A127" s="474">
        <v>0</v>
      </c>
      <c r="B127" s="496"/>
      <c r="C127" s="498" t="s">
        <v>1217</v>
      </c>
      <c r="D127" s="486" t="s">
        <v>29</v>
      </c>
      <c r="E127" s="487">
        <f>1.1*E124</f>
        <v>937.2</v>
      </c>
      <c r="F127" s="462">
        <v>0</v>
      </c>
      <c r="G127" s="463">
        <v>0</v>
      </c>
      <c r="H127" s="455">
        <f t="shared" si="61"/>
        <v>0</v>
      </c>
      <c r="I127" s="464">
        <v>2.08</v>
      </c>
      <c r="J127" s="464">
        <v>0</v>
      </c>
      <c r="K127" s="102">
        <f t="shared" si="55"/>
        <v>2.08</v>
      </c>
      <c r="L127" s="50">
        <f t="shared" si="56"/>
        <v>0</v>
      </c>
      <c r="M127" s="102">
        <f t="shared" si="57"/>
        <v>0</v>
      </c>
      <c r="N127" s="102">
        <f t="shared" si="58"/>
        <v>1949.38</v>
      </c>
      <c r="O127" s="102">
        <f t="shared" si="59"/>
        <v>0</v>
      </c>
      <c r="P127" s="103">
        <f t="shared" si="60"/>
        <v>1949.38</v>
      </c>
    </row>
    <row r="128" spans="1:16" s="56" customFormat="1">
      <c r="A128" s="474">
        <v>0</v>
      </c>
      <c r="B128" s="496"/>
      <c r="C128" s="498" t="s">
        <v>1217</v>
      </c>
      <c r="D128" s="486" t="s">
        <v>29</v>
      </c>
      <c r="E128" s="487">
        <f>E124*1.1</f>
        <v>937.2</v>
      </c>
      <c r="F128" s="462">
        <v>0</v>
      </c>
      <c r="G128" s="463">
        <v>0</v>
      </c>
      <c r="H128" s="455">
        <f t="shared" si="61"/>
        <v>0</v>
      </c>
      <c r="I128" s="464">
        <v>2.08</v>
      </c>
      <c r="J128" s="464">
        <v>0</v>
      </c>
      <c r="K128" s="102">
        <f t="shared" si="55"/>
        <v>2.08</v>
      </c>
      <c r="L128" s="50">
        <f t="shared" si="56"/>
        <v>0</v>
      </c>
      <c r="M128" s="102">
        <f t="shared" si="57"/>
        <v>0</v>
      </c>
      <c r="N128" s="102">
        <f t="shared" si="58"/>
        <v>1949.38</v>
      </c>
      <c r="O128" s="102">
        <f t="shared" si="59"/>
        <v>0</v>
      </c>
      <c r="P128" s="103">
        <f t="shared" si="60"/>
        <v>1949.38</v>
      </c>
    </row>
    <row r="129" spans="1:16" s="56" customFormat="1">
      <c r="A129" s="474">
        <v>0</v>
      </c>
      <c r="B129" s="484"/>
      <c r="C129" s="485" t="s">
        <v>1218</v>
      </c>
      <c r="D129" s="486"/>
      <c r="E129" s="487"/>
      <c r="F129" s="462"/>
      <c r="G129" s="463"/>
      <c r="H129" s="455">
        <f t="shared" si="61"/>
        <v>0</v>
      </c>
      <c r="I129" s="464"/>
      <c r="J129" s="464"/>
      <c r="K129" s="102">
        <f t="shared" si="55"/>
        <v>0</v>
      </c>
      <c r="L129" s="50">
        <f t="shared" si="56"/>
        <v>0</v>
      </c>
      <c r="M129" s="102">
        <f t="shared" si="57"/>
        <v>0</v>
      </c>
      <c r="N129" s="102">
        <f t="shared" si="58"/>
        <v>0</v>
      </c>
      <c r="O129" s="102">
        <f t="shared" si="59"/>
        <v>0</v>
      </c>
      <c r="P129" s="103">
        <f t="shared" si="60"/>
        <v>0</v>
      </c>
    </row>
    <row r="130" spans="1:16" s="56" customFormat="1" ht="37.35">
      <c r="A130" s="366">
        <v>66</v>
      </c>
      <c r="B130" s="493"/>
      <c r="C130" s="494" t="s">
        <v>1219</v>
      </c>
      <c r="D130" s="253" t="s">
        <v>29</v>
      </c>
      <c r="E130" s="495">
        <v>70.099999999999994</v>
      </c>
      <c r="F130" s="462">
        <v>0.32</v>
      </c>
      <c r="G130" s="463">
        <v>9.5</v>
      </c>
      <c r="H130" s="455">
        <f t="shared" si="61"/>
        <v>3.04</v>
      </c>
      <c r="I130" s="464">
        <v>2.4</v>
      </c>
      <c r="J130" s="464">
        <v>0.13</v>
      </c>
      <c r="K130" s="102">
        <f t="shared" si="55"/>
        <v>5.5699999999999994</v>
      </c>
      <c r="L130" s="50">
        <f t="shared" si="56"/>
        <v>22.43</v>
      </c>
      <c r="M130" s="102">
        <f t="shared" si="57"/>
        <v>213.1</v>
      </c>
      <c r="N130" s="102">
        <f t="shared" si="58"/>
        <v>168.24</v>
      </c>
      <c r="O130" s="102">
        <f t="shared" si="59"/>
        <v>9.11</v>
      </c>
      <c r="P130" s="103">
        <f t="shared" si="60"/>
        <v>390.45000000000005</v>
      </c>
    </row>
    <row r="131" spans="1:16" s="56" customFormat="1" ht="24.9">
      <c r="A131" s="474">
        <v>67</v>
      </c>
      <c r="B131" s="496"/>
      <c r="C131" s="490" t="s">
        <v>1213</v>
      </c>
      <c r="D131" s="486" t="s">
        <v>29</v>
      </c>
      <c r="E131" s="487">
        <v>70.099999999999994</v>
      </c>
      <c r="F131" s="462">
        <v>0.13</v>
      </c>
      <c r="G131" s="463">
        <v>9.5</v>
      </c>
      <c r="H131" s="455">
        <f t="shared" si="61"/>
        <v>1.24</v>
      </c>
      <c r="I131" s="464">
        <v>0</v>
      </c>
      <c r="J131" s="464">
        <v>0</v>
      </c>
      <c r="K131" s="102">
        <f t="shared" si="55"/>
        <v>1.24</v>
      </c>
      <c r="L131" s="50">
        <f t="shared" si="56"/>
        <v>9.11</v>
      </c>
      <c r="M131" s="102">
        <f t="shared" si="57"/>
        <v>86.92</v>
      </c>
      <c r="N131" s="102">
        <f t="shared" si="58"/>
        <v>0</v>
      </c>
      <c r="O131" s="102">
        <f t="shared" si="59"/>
        <v>0</v>
      </c>
      <c r="P131" s="103">
        <f t="shared" si="60"/>
        <v>86.92</v>
      </c>
    </row>
    <row r="132" spans="1:16" s="56" customFormat="1">
      <c r="A132" s="474">
        <v>0</v>
      </c>
      <c r="B132" s="496"/>
      <c r="C132" s="497" t="s">
        <v>1214</v>
      </c>
      <c r="D132" s="486" t="s">
        <v>29</v>
      </c>
      <c r="E132" s="487">
        <f>1.05*E131</f>
        <v>73.605000000000004</v>
      </c>
      <c r="F132" s="462">
        <v>0</v>
      </c>
      <c r="G132" s="463">
        <v>0</v>
      </c>
      <c r="H132" s="455">
        <f t="shared" si="61"/>
        <v>0</v>
      </c>
      <c r="I132" s="464">
        <v>2.94</v>
      </c>
      <c r="J132" s="464">
        <v>0</v>
      </c>
      <c r="K132" s="102">
        <f t="shared" si="55"/>
        <v>2.94</v>
      </c>
      <c r="L132" s="50">
        <f t="shared" si="56"/>
        <v>0</v>
      </c>
      <c r="M132" s="102">
        <f t="shared" si="57"/>
        <v>0</v>
      </c>
      <c r="N132" s="102">
        <f t="shared" si="58"/>
        <v>216.4</v>
      </c>
      <c r="O132" s="102">
        <f t="shared" si="59"/>
        <v>0</v>
      </c>
      <c r="P132" s="103">
        <f t="shared" si="60"/>
        <v>216.4</v>
      </c>
    </row>
    <row r="133" spans="1:16" s="56" customFormat="1">
      <c r="A133" s="474">
        <v>68</v>
      </c>
      <c r="B133" s="496"/>
      <c r="C133" s="490" t="s">
        <v>1215</v>
      </c>
      <c r="D133" s="486" t="s">
        <v>29</v>
      </c>
      <c r="E133" s="487">
        <f>E130*2</f>
        <v>140.19999999999999</v>
      </c>
      <c r="F133" s="462">
        <v>0.57999999999999996</v>
      </c>
      <c r="G133" s="463">
        <v>9.5</v>
      </c>
      <c r="H133" s="455">
        <f t="shared" si="61"/>
        <v>5.51</v>
      </c>
      <c r="I133" s="464">
        <v>0</v>
      </c>
      <c r="J133" s="464">
        <v>0.06</v>
      </c>
      <c r="K133" s="102">
        <f t="shared" si="55"/>
        <v>5.5699999999999994</v>
      </c>
      <c r="L133" s="50">
        <f t="shared" si="56"/>
        <v>81.319999999999993</v>
      </c>
      <c r="M133" s="102">
        <f t="shared" si="57"/>
        <v>772.5</v>
      </c>
      <c r="N133" s="102">
        <f t="shared" si="58"/>
        <v>0</v>
      </c>
      <c r="O133" s="102">
        <f t="shared" si="59"/>
        <v>8.41</v>
      </c>
      <c r="P133" s="103">
        <f t="shared" si="60"/>
        <v>780.91</v>
      </c>
    </row>
    <row r="134" spans="1:16" s="56" customFormat="1">
      <c r="A134" s="474">
        <v>0</v>
      </c>
      <c r="B134" s="496"/>
      <c r="C134" s="497" t="s">
        <v>1197</v>
      </c>
      <c r="D134" s="486" t="s">
        <v>1198</v>
      </c>
      <c r="E134" s="487">
        <f>0.07*E133</f>
        <v>9.8140000000000001</v>
      </c>
      <c r="F134" s="462">
        <v>0</v>
      </c>
      <c r="G134" s="463">
        <v>0</v>
      </c>
      <c r="H134" s="455">
        <f t="shared" si="61"/>
        <v>0</v>
      </c>
      <c r="I134" s="464">
        <v>0.75</v>
      </c>
      <c r="J134" s="464">
        <v>0</v>
      </c>
      <c r="K134" s="102">
        <f t="shared" si="55"/>
        <v>0.75</v>
      </c>
      <c r="L134" s="50">
        <f t="shared" si="56"/>
        <v>0</v>
      </c>
      <c r="M134" s="102">
        <f t="shared" si="57"/>
        <v>0</v>
      </c>
      <c r="N134" s="102">
        <f t="shared" si="58"/>
        <v>7.36</v>
      </c>
      <c r="O134" s="102">
        <f t="shared" si="59"/>
        <v>0</v>
      </c>
      <c r="P134" s="103">
        <f t="shared" si="60"/>
        <v>7.36</v>
      </c>
    </row>
    <row r="135" spans="1:16" s="56" customFormat="1">
      <c r="A135" s="474">
        <v>0</v>
      </c>
      <c r="B135" s="496"/>
      <c r="C135" s="497" t="s">
        <v>1199</v>
      </c>
      <c r="D135" s="486" t="s">
        <v>1198</v>
      </c>
      <c r="E135" s="487">
        <f>0.15*E133</f>
        <v>21.029999999999998</v>
      </c>
      <c r="F135" s="462">
        <v>0</v>
      </c>
      <c r="G135" s="463">
        <v>0</v>
      </c>
      <c r="H135" s="455">
        <f t="shared" si="61"/>
        <v>0</v>
      </c>
      <c r="I135" s="464">
        <v>0.99</v>
      </c>
      <c r="J135" s="464">
        <v>0</v>
      </c>
      <c r="K135" s="102">
        <f t="shared" si="55"/>
        <v>0.99</v>
      </c>
      <c r="L135" s="50">
        <f t="shared" si="56"/>
        <v>0</v>
      </c>
      <c r="M135" s="102">
        <f t="shared" si="57"/>
        <v>0</v>
      </c>
      <c r="N135" s="102">
        <f t="shared" si="58"/>
        <v>20.82</v>
      </c>
      <c r="O135" s="102">
        <f t="shared" si="59"/>
        <v>0</v>
      </c>
      <c r="P135" s="103">
        <f t="shared" si="60"/>
        <v>20.82</v>
      </c>
    </row>
    <row r="136" spans="1:16" s="56" customFormat="1">
      <c r="A136" s="474">
        <v>0</v>
      </c>
      <c r="B136" s="496"/>
      <c r="C136" s="498" t="s">
        <v>1217</v>
      </c>
      <c r="D136" s="486" t="s">
        <v>29</v>
      </c>
      <c r="E136" s="487">
        <f>1.1*E133</f>
        <v>154.22</v>
      </c>
      <c r="F136" s="462">
        <v>0</v>
      </c>
      <c r="G136" s="463">
        <v>0</v>
      </c>
      <c r="H136" s="455">
        <f t="shared" si="61"/>
        <v>0</v>
      </c>
      <c r="I136" s="464">
        <v>2.08</v>
      </c>
      <c r="J136" s="464">
        <v>0</v>
      </c>
      <c r="K136" s="102">
        <f t="shared" si="55"/>
        <v>2.08</v>
      </c>
      <c r="L136" s="50">
        <f t="shared" si="56"/>
        <v>0</v>
      </c>
      <c r="M136" s="102">
        <f t="shared" si="57"/>
        <v>0</v>
      </c>
      <c r="N136" s="102">
        <f t="shared" si="58"/>
        <v>320.77999999999997</v>
      </c>
      <c r="O136" s="102">
        <f t="shared" si="59"/>
        <v>0</v>
      </c>
      <c r="P136" s="103">
        <f t="shared" si="60"/>
        <v>320.77999999999997</v>
      </c>
    </row>
    <row r="137" spans="1:16" s="56" customFormat="1">
      <c r="A137" s="474">
        <v>0</v>
      </c>
      <c r="B137" s="496"/>
      <c r="C137" s="498" t="s">
        <v>1217</v>
      </c>
      <c r="D137" s="486" t="s">
        <v>29</v>
      </c>
      <c r="E137" s="487">
        <f>E133*1.1</f>
        <v>154.22</v>
      </c>
      <c r="F137" s="462">
        <v>0</v>
      </c>
      <c r="G137" s="463">
        <v>0</v>
      </c>
      <c r="H137" s="455">
        <f t="shared" si="61"/>
        <v>0</v>
      </c>
      <c r="I137" s="464">
        <v>2.08</v>
      </c>
      <c r="J137" s="464">
        <v>0</v>
      </c>
      <c r="K137" s="102">
        <f t="shared" si="55"/>
        <v>2.08</v>
      </c>
      <c r="L137" s="50">
        <f t="shared" si="56"/>
        <v>0</v>
      </c>
      <c r="M137" s="102">
        <f t="shared" si="57"/>
        <v>0</v>
      </c>
      <c r="N137" s="102">
        <f t="shared" si="58"/>
        <v>320.77999999999997</v>
      </c>
      <c r="O137" s="102">
        <f t="shared" si="59"/>
        <v>0</v>
      </c>
      <c r="P137" s="103">
        <f t="shared" si="60"/>
        <v>320.77999999999997</v>
      </c>
    </row>
    <row r="138" spans="1:16" s="56" customFormat="1">
      <c r="A138" s="474">
        <v>0</v>
      </c>
      <c r="B138" s="484"/>
      <c r="C138" s="485" t="s">
        <v>1220</v>
      </c>
      <c r="D138" s="486"/>
      <c r="E138" s="487"/>
      <c r="F138" s="462"/>
      <c r="G138" s="463"/>
      <c r="H138" s="455">
        <f t="shared" si="61"/>
        <v>0</v>
      </c>
      <c r="I138" s="464"/>
      <c r="J138" s="464"/>
      <c r="K138" s="102">
        <f t="shared" si="55"/>
        <v>0</v>
      </c>
      <c r="L138" s="50">
        <f t="shared" si="56"/>
        <v>0</v>
      </c>
      <c r="M138" s="102">
        <f t="shared" si="57"/>
        <v>0</v>
      </c>
      <c r="N138" s="102">
        <f t="shared" si="58"/>
        <v>0</v>
      </c>
      <c r="O138" s="102">
        <f t="shared" si="59"/>
        <v>0</v>
      </c>
      <c r="P138" s="103">
        <f t="shared" si="60"/>
        <v>0</v>
      </c>
    </row>
    <row r="139" spans="1:16" s="56" customFormat="1" ht="37.35">
      <c r="A139" s="366">
        <v>69</v>
      </c>
      <c r="B139" s="493"/>
      <c r="C139" s="494" t="s">
        <v>1221</v>
      </c>
      <c r="D139" s="253" t="s">
        <v>29</v>
      </c>
      <c r="E139" s="495">
        <v>7</v>
      </c>
      <c r="F139" s="462">
        <v>0.32</v>
      </c>
      <c r="G139" s="463">
        <v>9.5</v>
      </c>
      <c r="H139" s="455">
        <f t="shared" si="61"/>
        <v>3.04</v>
      </c>
      <c r="I139" s="464">
        <v>1.98</v>
      </c>
      <c r="J139" s="464">
        <v>0.13</v>
      </c>
      <c r="K139" s="102">
        <f t="shared" si="55"/>
        <v>5.1499999999999995</v>
      </c>
      <c r="L139" s="50">
        <f t="shared" si="56"/>
        <v>2.2400000000000002</v>
      </c>
      <c r="M139" s="102">
        <f t="shared" si="57"/>
        <v>21.28</v>
      </c>
      <c r="N139" s="102">
        <f t="shared" si="58"/>
        <v>13.86</v>
      </c>
      <c r="O139" s="102">
        <f t="shared" si="59"/>
        <v>0.91</v>
      </c>
      <c r="P139" s="103">
        <f t="shared" si="60"/>
        <v>36.049999999999997</v>
      </c>
    </row>
    <row r="140" spans="1:16" s="56" customFormat="1" ht="24.9">
      <c r="A140" s="474">
        <v>70</v>
      </c>
      <c r="B140" s="496"/>
      <c r="C140" s="490" t="s">
        <v>1213</v>
      </c>
      <c r="D140" s="486" t="s">
        <v>29</v>
      </c>
      <c r="E140" s="487">
        <v>7</v>
      </c>
      <c r="F140" s="462">
        <v>0.13</v>
      </c>
      <c r="G140" s="463">
        <v>9.5</v>
      </c>
      <c r="H140" s="455">
        <f t="shared" si="61"/>
        <v>1.24</v>
      </c>
      <c r="I140" s="464">
        <v>0</v>
      </c>
      <c r="J140" s="464">
        <v>0</v>
      </c>
      <c r="K140" s="102">
        <f t="shared" si="55"/>
        <v>1.24</v>
      </c>
      <c r="L140" s="50">
        <f t="shared" si="56"/>
        <v>0.91</v>
      </c>
      <c r="M140" s="102">
        <f t="shared" si="57"/>
        <v>8.68</v>
      </c>
      <c r="N140" s="102">
        <f t="shared" si="58"/>
        <v>0</v>
      </c>
      <c r="O140" s="102">
        <f t="shared" si="59"/>
        <v>0</v>
      </c>
      <c r="P140" s="103">
        <f t="shared" si="60"/>
        <v>8.68</v>
      </c>
    </row>
    <row r="141" spans="1:16" s="56" customFormat="1">
      <c r="A141" s="474">
        <v>0</v>
      </c>
      <c r="B141" s="496"/>
      <c r="C141" s="498" t="s">
        <v>1582</v>
      </c>
      <c r="D141" s="486" t="s">
        <v>29</v>
      </c>
      <c r="E141" s="487">
        <f>1.05*E140</f>
        <v>7.3500000000000005</v>
      </c>
      <c r="F141" s="462">
        <v>0</v>
      </c>
      <c r="G141" s="463">
        <v>0</v>
      </c>
      <c r="H141" s="455">
        <f t="shared" si="61"/>
        <v>0</v>
      </c>
      <c r="I141" s="464">
        <v>2.94</v>
      </c>
      <c r="J141" s="464">
        <v>0</v>
      </c>
      <c r="K141" s="102">
        <f t="shared" si="55"/>
        <v>2.94</v>
      </c>
      <c r="L141" s="50">
        <f t="shared" si="56"/>
        <v>0</v>
      </c>
      <c r="M141" s="102">
        <f t="shared" si="57"/>
        <v>0</v>
      </c>
      <c r="N141" s="102">
        <f t="shared" si="58"/>
        <v>21.61</v>
      </c>
      <c r="O141" s="102">
        <f t="shared" si="59"/>
        <v>0</v>
      </c>
      <c r="P141" s="103">
        <f t="shared" si="60"/>
        <v>21.61</v>
      </c>
    </row>
    <row r="142" spans="1:16" s="56" customFormat="1">
      <c r="A142" s="474">
        <v>71</v>
      </c>
      <c r="B142" s="496"/>
      <c r="C142" s="492" t="s">
        <v>1222</v>
      </c>
      <c r="D142" s="486" t="s">
        <v>29</v>
      </c>
      <c r="E142" s="487">
        <f>E139*2</f>
        <v>14</v>
      </c>
      <c r="F142" s="462">
        <v>0.3</v>
      </c>
      <c r="G142" s="463">
        <v>9.5</v>
      </c>
      <c r="H142" s="455">
        <f t="shared" si="61"/>
        <v>2.85</v>
      </c>
      <c r="I142" s="464">
        <v>0</v>
      </c>
      <c r="J142" s="464">
        <v>0.06</v>
      </c>
      <c r="K142" s="102">
        <f t="shared" si="55"/>
        <v>2.91</v>
      </c>
      <c r="L142" s="50">
        <f t="shared" si="56"/>
        <v>4.2</v>
      </c>
      <c r="M142" s="102">
        <f t="shared" si="57"/>
        <v>39.9</v>
      </c>
      <c r="N142" s="102">
        <f t="shared" si="58"/>
        <v>0</v>
      </c>
      <c r="O142" s="102">
        <f t="shared" si="59"/>
        <v>0.84</v>
      </c>
      <c r="P142" s="103">
        <f t="shared" si="60"/>
        <v>40.74</v>
      </c>
    </row>
    <row r="143" spans="1:16" s="56" customFormat="1">
      <c r="A143" s="474">
        <v>0</v>
      </c>
      <c r="B143" s="496"/>
      <c r="C143" s="498" t="s">
        <v>1217</v>
      </c>
      <c r="D143" s="486" t="s">
        <v>29</v>
      </c>
      <c r="E143" s="487">
        <f>1.05*E142</f>
        <v>14.700000000000001</v>
      </c>
      <c r="F143" s="462">
        <v>0</v>
      </c>
      <c r="G143" s="463">
        <v>0</v>
      </c>
      <c r="H143" s="455">
        <f t="shared" si="61"/>
        <v>0</v>
      </c>
      <c r="I143" s="464">
        <v>2.08</v>
      </c>
      <c r="J143" s="464">
        <v>0</v>
      </c>
      <c r="K143" s="102">
        <f t="shared" si="55"/>
        <v>2.08</v>
      </c>
      <c r="L143" s="50">
        <f t="shared" si="56"/>
        <v>0</v>
      </c>
      <c r="M143" s="102">
        <f t="shared" si="57"/>
        <v>0</v>
      </c>
      <c r="N143" s="102">
        <f t="shared" si="58"/>
        <v>30.58</v>
      </c>
      <c r="O143" s="102">
        <f t="shared" si="59"/>
        <v>0</v>
      </c>
      <c r="P143" s="103">
        <f t="shared" si="60"/>
        <v>30.58</v>
      </c>
    </row>
    <row r="144" spans="1:16" s="56" customFormat="1">
      <c r="A144" s="474">
        <v>0</v>
      </c>
      <c r="B144" s="496"/>
      <c r="C144" s="497" t="s">
        <v>1197</v>
      </c>
      <c r="D144" s="486" t="s">
        <v>1198</v>
      </c>
      <c r="E144" s="487">
        <f>0.16*E142</f>
        <v>2.2400000000000002</v>
      </c>
      <c r="F144" s="462">
        <v>0</v>
      </c>
      <c r="G144" s="463">
        <v>0</v>
      </c>
      <c r="H144" s="455">
        <f t="shared" si="61"/>
        <v>0</v>
      </c>
      <c r="I144" s="464">
        <v>0.75</v>
      </c>
      <c r="J144" s="464">
        <v>0</v>
      </c>
      <c r="K144" s="102">
        <f t="shared" si="55"/>
        <v>0.75</v>
      </c>
      <c r="L144" s="50">
        <f t="shared" si="56"/>
        <v>0</v>
      </c>
      <c r="M144" s="102">
        <f t="shared" si="57"/>
        <v>0</v>
      </c>
      <c r="N144" s="102">
        <f t="shared" si="58"/>
        <v>1.68</v>
      </c>
      <c r="O144" s="102">
        <f t="shared" si="59"/>
        <v>0</v>
      </c>
      <c r="P144" s="103">
        <f t="shared" si="60"/>
        <v>1.68</v>
      </c>
    </row>
    <row r="145" spans="1:16" s="56" customFormat="1">
      <c r="A145" s="474">
        <v>0</v>
      </c>
      <c r="B145" s="484"/>
      <c r="C145" s="485" t="s">
        <v>1223</v>
      </c>
      <c r="D145" s="486"/>
      <c r="E145" s="487"/>
      <c r="F145" s="462"/>
      <c r="G145" s="463"/>
      <c r="H145" s="455">
        <f t="shared" si="61"/>
        <v>0</v>
      </c>
      <c r="I145" s="464"/>
      <c r="J145" s="464"/>
      <c r="K145" s="102">
        <f t="shared" si="55"/>
        <v>0</v>
      </c>
      <c r="L145" s="50">
        <f t="shared" si="56"/>
        <v>0</v>
      </c>
      <c r="M145" s="102">
        <f t="shared" si="57"/>
        <v>0</v>
      </c>
      <c r="N145" s="102">
        <f t="shared" si="58"/>
        <v>0</v>
      </c>
      <c r="O145" s="102">
        <f t="shared" si="59"/>
        <v>0</v>
      </c>
      <c r="P145" s="103">
        <f t="shared" si="60"/>
        <v>0</v>
      </c>
    </row>
    <row r="146" spans="1:16" s="56" customFormat="1">
      <c r="A146" s="474">
        <v>72</v>
      </c>
      <c r="B146" s="502"/>
      <c r="C146" s="503" t="s">
        <v>1224</v>
      </c>
      <c r="D146" s="486" t="s">
        <v>29</v>
      </c>
      <c r="E146" s="487">
        <v>6</v>
      </c>
      <c r="F146" s="462">
        <v>1.41</v>
      </c>
      <c r="G146" s="463">
        <v>9.5</v>
      </c>
      <c r="H146" s="455">
        <f t="shared" si="61"/>
        <v>13.4</v>
      </c>
      <c r="I146" s="464">
        <v>0</v>
      </c>
      <c r="J146" s="464">
        <v>0.15</v>
      </c>
      <c r="K146" s="102">
        <f t="shared" si="55"/>
        <v>13.55</v>
      </c>
      <c r="L146" s="50">
        <f t="shared" si="56"/>
        <v>8.4600000000000009</v>
      </c>
      <c r="M146" s="102">
        <f t="shared" si="57"/>
        <v>80.400000000000006</v>
      </c>
      <c r="N146" s="102">
        <f t="shared" si="58"/>
        <v>0</v>
      </c>
      <c r="O146" s="102">
        <f t="shared" si="59"/>
        <v>0.9</v>
      </c>
      <c r="P146" s="103">
        <f t="shared" si="60"/>
        <v>81.300000000000011</v>
      </c>
    </row>
    <row r="147" spans="1:16" s="56" customFormat="1" ht="38">
      <c r="A147" s="474">
        <v>0</v>
      </c>
      <c r="B147" s="502"/>
      <c r="C147" s="504" t="s">
        <v>1225</v>
      </c>
      <c r="D147" s="486" t="s">
        <v>29</v>
      </c>
      <c r="E147" s="487">
        <f>E146</f>
        <v>6</v>
      </c>
      <c r="F147" s="462">
        <v>0</v>
      </c>
      <c r="G147" s="463">
        <v>0</v>
      </c>
      <c r="H147" s="455">
        <f t="shared" ref="H147" si="62">ROUND(F147*G147,2)</f>
        <v>0</v>
      </c>
      <c r="I147" s="464">
        <v>41.97</v>
      </c>
      <c r="J147" s="464">
        <v>0</v>
      </c>
      <c r="K147" s="102">
        <f t="shared" si="55"/>
        <v>41.97</v>
      </c>
      <c r="L147" s="50">
        <f t="shared" si="56"/>
        <v>0</v>
      </c>
      <c r="M147" s="102">
        <f t="shared" si="57"/>
        <v>0</v>
      </c>
      <c r="N147" s="102">
        <f t="shared" si="58"/>
        <v>251.82</v>
      </c>
      <c r="O147" s="102">
        <f t="shared" si="59"/>
        <v>0</v>
      </c>
      <c r="P147" s="103">
        <f t="shared" si="60"/>
        <v>251.82</v>
      </c>
    </row>
    <row r="148" spans="1:16" s="56" customFormat="1">
      <c r="A148" s="63"/>
      <c r="B148" s="104"/>
      <c r="C148" s="105"/>
      <c r="D148" s="106"/>
      <c r="E148" s="58"/>
      <c r="F148" s="61"/>
      <c r="G148" s="61"/>
      <c r="H148" s="58"/>
      <c r="I148" s="58"/>
      <c r="J148" s="58"/>
      <c r="K148" s="58"/>
      <c r="L148" s="61"/>
      <c r="M148" s="58"/>
      <c r="N148" s="58"/>
      <c r="O148" s="58"/>
      <c r="P148" s="62"/>
    </row>
    <row r="149" spans="1:16" ht="15.05" customHeight="1">
      <c r="A149" s="41"/>
      <c r="B149" s="41"/>
      <c r="C149" s="932" t="s">
        <v>98</v>
      </c>
      <c r="D149" s="933"/>
      <c r="E149" s="933"/>
      <c r="F149" s="933"/>
      <c r="G149" s="933"/>
      <c r="H149" s="933"/>
      <c r="I149" s="933"/>
      <c r="J149" s="933"/>
      <c r="K149" s="933"/>
      <c r="L149" s="42">
        <f>SUM(L13:L148)</f>
        <v>8706.6299999999974</v>
      </c>
      <c r="M149" s="42">
        <f>SUM(M13:M148)</f>
        <v>82738.26999999996</v>
      </c>
      <c r="N149" s="42">
        <f>SUM(N13:N148)</f>
        <v>358312.75000000017</v>
      </c>
      <c r="O149" s="42">
        <f>SUM(O13:O148)</f>
        <v>14710.310000000001</v>
      </c>
      <c r="P149" s="42">
        <f>SUM(P13:P148)</f>
        <v>455761.32999999996</v>
      </c>
    </row>
    <row r="150" spans="1:16" s="125" customFormat="1" collapsed="1">
      <c r="I150" s="146"/>
    </row>
    <row r="151" spans="1:16" s="122" customFormat="1" ht="12.8" customHeight="1">
      <c r="B151" s="147" t="s">
        <v>54</v>
      </c>
    </row>
    <row r="152" spans="1:16" s="122" customFormat="1" ht="45" customHeight="1">
      <c r="A152"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152" s="926"/>
      <c r="C152" s="926"/>
      <c r="D152" s="926"/>
      <c r="E152" s="926"/>
      <c r="F152" s="926"/>
      <c r="G152" s="926"/>
      <c r="H152" s="926"/>
      <c r="I152" s="926"/>
      <c r="J152" s="926"/>
      <c r="K152" s="926"/>
      <c r="L152" s="926"/>
      <c r="M152" s="926"/>
      <c r="N152" s="926"/>
      <c r="O152" s="926"/>
      <c r="P152" s="926"/>
    </row>
    <row r="153" spans="1:16" s="122" customFormat="1" ht="77.25" customHeight="1">
      <c r="A153" s="925"/>
      <c r="B153" s="925"/>
      <c r="C153" s="925"/>
      <c r="D153" s="925"/>
      <c r="E153" s="925"/>
      <c r="F153" s="925"/>
      <c r="G153" s="925"/>
      <c r="H153" s="925"/>
      <c r="I153" s="925"/>
      <c r="J153" s="925"/>
      <c r="K153" s="925"/>
      <c r="L153" s="925"/>
      <c r="M153" s="925"/>
      <c r="N153" s="925"/>
      <c r="O153" s="925"/>
      <c r="P153" s="925"/>
    </row>
    <row r="154" spans="1:16" s="122" customFormat="1" ht="12.8" customHeight="1">
      <c r="B154" s="148"/>
    </row>
    <row r="155" spans="1:16" s="122" customFormat="1" ht="12.8" customHeight="1">
      <c r="B155" s="148"/>
    </row>
    <row r="156" spans="1:16" s="125" customFormat="1">
      <c r="B156" s="125" t="s">
        <v>8</v>
      </c>
      <c r="L156" s="157" t="str">
        <f>Koptame!B39</f>
        <v>Pārbaudīja:</v>
      </c>
      <c r="M156" s="157"/>
      <c r="N156" s="157"/>
      <c r="O156" s="157"/>
      <c r="P156" s="157"/>
    </row>
    <row r="157" spans="1:16" s="125" customFormat="1" ht="14.25" customHeight="1">
      <c r="C157" s="182" t="str">
        <f>Koptame!C34</f>
        <v>Arnis Gailītis</v>
      </c>
      <c r="L157" s="182"/>
      <c r="M157" s="922" t="str">
        <f>Koptame!C40</f>
        <v>Dzintra Cīrule</v>
      </c>
      <c r="N157" s="922"/>
      <c r="O157" s="157"/>
      <c r="P157" s="157"/>
    </row>
    <row r="158" spans="1:16" s="125" customFormat="1">
      <c r="C158" s="183" t="str">
        <f>Koptame!C35</f>
        <v>Sertifikāta Nr.20-5643</v>
      </c>
      <c r="L158" s="183"/>
      <c r="M158" s="923" t="str">
        <f>Koptame!C41</f>
        <v>Sertifikāta Nr.10-0363</v>
      </c>
      <c r="N158" s="923"/>
      <c r="O158" s="157"/>
      <c r="P158" s="157"/>
    </row>
    <row r="159" spans="1:16" s="125" customFormat="1" collapsed="1">
      <c r="B159" s="146"/>
      <c r="F159" s="146"/>
      <c r="G159" s="146"/>
    </row>
  </sheetData>
  <mergeCells count="17">
    <mergeCell ref="A2:P2"/>
    <mergeCell ref="L9:O9"/>
    <mergeCell ref="E11:E12"/>
    <mergeCell ref="F11:K11"/>
    <mergeCell ref="L11:P11"/>
    <mergeCell ref="D3:P3"/>
    <mergeCell ref="D4:P4"/>
    <mergeCell ref="D5:P5"/>
    <mergeCell ref="A11:A12"/>
    <mergeCell ref="B11:B12"/>
    <mergeCell ref="C11:C12"/>
    <mergeCell ref="A153:P153"/>
    <mergeCell ref="M157:N157"/>
    <mergeCell ref="M158:N158"/>
    <mergeCell ref="D11:D12"/>
    <mergeCell ref="C149:K149"/>
    <mergeCell ref="A152:P152"/>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5"/>
  <sheetViews>
    <sheetView showZeros="0" view="pageBreakPreview" topLeftCell="A4" zoomScale="90" zoomScaleNormal="100" zoomScaleSheetLayoutView="90" workbookViewId="0">
      <selection activeCell="A14" sqref="A14:XFD14"/>
    </sheetView>
  </sheetViews>
  <sheetFormatPr defaultColWidth="9.125" defaultRowHeight="14.4"/>
  <cols>
    <col min="1" max="1" width="9" style="19" customWidth="1"/>
    <col min="2" max="2" width="9.375" style="19" customWidth="1"/>
    <col min="3" max="3" width="40.25" style="19" customWidth="1"/>
    <col min="4" max="4" width="8.125" style="19" customWidth="1"/>
    <col min="5"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kops1!B24</f>
        <v>1,4</v>
      </c>
    </row>
    <row r="2" spans="1:16" s="24" customFormat="1">
      <c r="A2" s="919" t="str">
        <f>C13</f>
        <v>Pārsegums</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P25</f>
        <v>39492.909999999996</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kops1!C24</f>
        <v>Pārsegums</v>
      </c>
      <c r="D13" s="14"/>
      <c r="E13" s="15"/>
      <c r="F13" s="30">
        <v>0</v>
      </c>
      <c r="G13" s="29">
        <v>0</v>
      </c>
      <c r="H13" s="31">
        <v>0</v>
      </c>
      <c r="I13" s="29">
        <v>0</v>
      </c>
      <c r="J13" s="29">
        <v>0</v>
      </c>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15.05">
      <c r="A14" s="470">
        <v>0</v>
      </c>
      <c r="B14" s="471"/>
      <c r="C14" s="472" t="s">
        <v>1226</v>
      </c>
      <c r="D14" s="471"/>
      <c r="E14" s="473"/>
      <c r="F14" s="462"/>
      <c r="G14" s="463"/>
      <c r="H14" s="455"/>
      <c r="I14" s="464"/>
      <c r="J14" s="464"/>
      <c r="K14" s="102">
        <f>SUM(H14:J14)</f>
        <v>0</v>
      </c>
      <c r="L14" s="50">
        <f>ROUND(F14*E14,2)</f>
        <v>0</v>
      </c>
      <c r="M14" s="102">
        <f>ROUND(H14*E14,2)</f>
        <v>0</v>
      </c>
      <c r="N14" s="102">
        <f>ROUND(I14*E14,2)</f>
        <v>0</v>
      </c>
      <c r="O14" s="102">
        <f>ROUND(J14*E14,2)</f>
        <v>0</v>
      </c>
      <c r="P14" s="103">
        <f>SUM(M14:O14)</f>
        <v>0</v>
      </c>
    </row>
    <row r="15" spans="1:16" s="56" customFormat="1" ht="30.15">
      <c r="A15" s="470">
        <v>1</v>
      </c>
      <c r="B15" s="471"/>
      <c r="C15" s="479" t="s">
        <v>1227</v>
      </c>
      <c r="D15" s="471" t="s">
        <v>29</v>
      </c>
      <c r="E15" s="473">
        <v>756</v>
      </c>
      <c r="F15" s="462">
        <f t="shared" ref="F15:F17" si="6">ROUND(H15/G15,2)</f>
        <v>0.84</v>
      </c>
      <c r="G15" s="463">
        <v>9.5</v>
      </c>
      <c r="H15" s="455">
        <v>8</v>
      </c>
      <c r="I15" s="623">
        <v>25.5</v>
      </c>
      <c r="J15" s="464">
        <v>4.5</v>
      </c>
      <c r="K15" s="102">
        <f t="shared" ref="K15:K23" si="7">SUM(H15:J15)</f>
        <v>38</v>
      </c>
      <c r="L15" s="50">
        <f t="shared" ref="L15:L23" si="8">ROUND(F15*E15,2)</f>
        <v>635.04</v>
      </c>
      <c r="M15" s="102">
        <f t="shared" ref="M15:M23" si="9">ROUND(H15*E15,2)</f>
        <v>6048</v>
      </c>
      <c r="N15" s="102">
        <f t="shared" ref="N15:N23" si="10">ROUND(I15*E15,2)</f>
        <v>19278</v>
      </c>
      <c r="O15" s="102">
        <f t="shared" ref="O15:O23" si="11">ROUND(J15*E15,2)</f>
        <v>3402</v>
      </c>
      <c r="P15" s="103">
        <f t="shared" ref="P15:P23" si="12">SUM(M15:O15)</f>
        <v>28728</v>
      </c>
    </row>
    <row r="16" spans="1:16" s="56" customFormat="1" ht="30.15">
      <c r="A16" s="470">
        <v>2</v>
      </c>
      <c r="B16" s="471"/>
      <c r="C16" s="479" t="s">
        <v>1228</v>
      </c>
      <c r="D16" s="471" t="s">
        <v>1120</v>
      </c>
      <c r="E16" s="473">
        <v>0.98</v>
      </c>
      <c r="F16" s="462">
        <f t="shared" si="6"/>
        <v>26.32</v>
      </c>
      <c r="G16" s="463">
        <v>9.5</v>
      </c>
      <c r="H16" s="455">
        <v>250</v>
      </c>
      <c r="I16" s="464">
        <v>750</v>
      </c>
      <c r="J16" s="464">
        <v>7.2</v>
      </c>
      <c r="K16" s="102">
        <f t="shared" si="7"/>
        <v>1007.2</v>
      </c>
      <c r="L16" s="50">
        <f t="shared" si="8"/>
        <v>25.79</v>
      </c>
      <c r="M16" s="102">
        <f t="shared" si="9"/>
        <v>245</v>
      </c>
      <c r="N16" s="102">
        <f t="shared" si="10"/>
        <v>735</v>
      </c>
      <c r="O16" s="102">
        <f t="shared" si="11"/>
        <v>7.06</v>
      </c>
      <c r="P16" s="103">
        <f t="shared" si="12"/>
        <v>987.06</v>
      </c>
    </row>
    <row r="17" spans="1:16" s="56" customFormat="1" ht="30.15">
      <c r="A17" s="470">
        <v>3</v>
      </c>
      <c r="B17" s="471"/>
      <c r="C17" s="479" t="s">
        <v>1229</v>
      </c>
      <c r="D17" s="471" t="s">
        <v>884</v>
      </c>
      <c r="E17" s="473">
        <v>14</v>
      </c>
      <c r="F17" s="462">
        <f t="shared" si="6"/>
        <v>2.3199999999999998</v>
      </c>
      <c r="G17" s="463">
        <v>9.5</v>
      </c>
      <c r="H17" s="455">
        <v>22</v>
      </c>
      <c r="I17" s="464">
        <v>56.7</v>
      </c>
      <c r="J17" s="464">
        <v>25.9</v>
      </c>
      <c r="K17" s="102">
        <f t="shared" si="7"/>
        <v>104.6</v>
      </c>
      <c r="L17" s="50">
        <f t="shared" si="8"/>
        <v>32.479999999999997</v>
      </c>
      <c r="M17" s="102">
        <f t="shared" si="9"/>
        <v>308</v>
      </c>
      <c r="N17" s="102">
        <f t="shared" si="10"/>
        <v>793.8</v>
      </c>
      <c r="O17" s="102">
        <f t="shared" si="11"/>
        <v>362.6</v>
      </c>
      <c r="P17" s="103">
        <f t="shared" si="12"/>
        <v>1464.4</v>
      </c>
    </row>
    <row r="18" spans="1:16" s="56" customFormat="1">
      <c r="A18" s="457">
        <v>4</v>
      </c>
      <c r="B18" s="415"/>
      <c r="C18" s="505" t="s">
        <v>1230</v>
      </c>
      <c r="D18" s="433" t="s">
        <v>111</v>
      </c>
      <c r="E18" s="506">
        <v>270</v>
      </c>
      <c r="F18" s="462">
        <v>0.15</v>
      </c>
      <c r="G18" s="463">
        <v>9.5</v>
      </c>
      <c r="H18" s="455">
        <f t="shared" ref="H18" si="13">ROUND(F18*G18,2)</f>
        <v>1.43</v>
      </c>
      <c r="I18" s="464">
        <v>2.8</v>
      </c>
      <c r="J18" s="464">
        <v>0.05</v>
      </c>
      <c r="K18" s="102">
        <f t="shared" si="7"/>
        <v>4.2799999999999994</v>
      </c>
      <c r="L18" s="50">
        <f t="shared" si="8"/>
        <v>40.5</v>
      </c>
      <c r="M18" s="102">
        <f t="shared" si="9"/>
        <v>386.1</v>
      </c>
      <c r="N18" s="102">
        <f t="shared" si="10"/>
        <v>756</v>
      </c>
      <c r="O18" s="102">
        <f t="shared" si="11"/>
        <v>13.5</v>
      </c>
      <c r="P18" s="103">
        <f t="shared" si="12"/>
        <v>1155.5999999999999</v>
      </c>
    </row>
    <row r="19" spans="1:16" s="56" customFormat="1" ht="15.05">
      <c r="A19" s="470">
        <v>0</v>
      </c>
      <c r="B19" s="471"/>
      <c r="C19" s="479"/>
      <c r="D19" s="471"/>
      <c r="E19" s="473"/>
      <c r="F19" s="462"/>
      <c r="G19" s="463"/>
      <c r="H19" s="455"/>
      <c r="I19" s="464"/>
      <c r="J19" s="464"/>
      <c r="K19" s="102">
        <f t="shared" si="7"/>
        <v>0</v>
      </c>
      <c r="L19" s="50">
        <f t="shared" si="8"/>
        <v>0</v>
      </c>
      <c r="M19" s="102">
        <f t="shared" si="9"/>
        <v>0</v>
      </c>
      <c r="N19" s="102">
        <f t="shared" si="10"/>
        <v>0</v>
      </c>
      <c r="O19" s="102">
        <f t="shared" si="11"/>
        <v>0</v>
      </c>
      <c r="P19" s="103">
        <f t="shared" si="12"/>
        <v>0</v>
      </c>
    </row>
    <row r="20" spans="1:16" s="56" customFormat="1" ht="15.05">
      <c r="A20" s="481">
        <v>0</v>
      </c>
      <c r="B20" s="482"/>
      <c r="C20" s="472" t="s">
        <v>1231</v>
      </c>
      <c r="D20" s="482"/>
      <c r="E20" s="473"/>
      <c r="F20" s="462"/>
      <c r="G20" s="463"/>
      <c r="H20" s="455"/>
      <c r="I20" s="464"/>
      <c r="J20" s="464"/>
      <c r="K20" s="102">
        <f t="shared" si="7"/>
        <v>0</v>
      </c>
      <c r="L20" s="50">
        <f t="shared" si="8"/>
        <v>0</v>
      </c>
      <c r="M20" s="102">
        <f t="shared" si="9"/>
        <v>0</v>
      </c>
      <c r="N20" s="102">
        <f t="shared" si="10"/>
        <v>0</v>
      </c>
      <c r="O20" s="102">
        <f t="shared" si="11"/>
        <v>0</v>
      </c>
      <c r="P20" s="103">
        <f t="shared" si="12"/>
        <v>0</v>
      </c>
    </row>
    <row r="21" spans="1:16" s="56" customFormat="1" ht="30.15">
      <c r="A21" s="481">
        <v>5</v>
      </c>
      <c r="B21" s="482"/>
      <c r="C21" s="483" t="s">
        <v>1137</v>
      </c>
      <c r="D21" s="482" t="s">
        <v>1120</v>
      </c>
      <c r="E21" s="473">
        <v>3.57</v>
      </c>
      <c r="F21" s="462">
        <f t="shared" ref="F21" si="14">ROUND(H21/G21,2)</f>
        <v>18.95</v>
      </c>
      <c r="G21" s="463">
        <v>9.5</v>
      </c>
      <c r="H21" s="455">
        <v>180</v>
      </c>
      <c r="I21" s="464"/>
      <c r="J21" s="464">
        <v>40</v>
      </c>
      <c r="K21" s="102">
        <f t="shared" si="7"/>
        <v>220</v>
      </c>
      <c r="L21" s="50">
        <f t="shared" si="8"/>
        <v>67.650000000000006</v>
      </c>
      <c r="M21" s="102">
        <f t="shared" si="9"/>
        <v>642.6</v>
      </c>
      <c r="N21" s="102">
        <f t="shared" si="10"/>
        <v>0</v>
      </c>
      <c r="O21" s="102">
        <f t="shared" si="11"/>
        <v>142.80000000000001</v>
      </c>
      <c r="P21" s="103">
        <f t="shared" si="12"/>
        <v>785.40000000000009</v>
      </c>
    </row>
    <row r="22" spans="1:16" s="56" customFormat="1" ht="30.15">
      <c r="A22" s="481">
        <v>0</v>
      </c>
      <c r="B22" s="482"/>
      <c r="C22" s="483" t="s">
        <v>1138</v>
      </c>
      <c r="D22" s="482" t="s">
        <v>1120</v>
      </c>
      <c r="E22" s="473">
        <f>E21*1.1</f>
        <v>3.927</v>
      </c>
      <c r="F22" s="462"/>
      <c r="G22" s="463"/>
      <c r="H22" s="455">
        <v>0</v>
      </c>
      <c r="I22" s="464">
        <v>1550</v>
      </c>
      <c r="J22" s="464"/>
      <c r="K22" s="102">
        <f t="shared" si="7"/>
        <v>1550</v>
      </c>
      <c r="L22" s="50">
        <f t="shared" si="8"/>
        <v>0</v>
      </c>
      <c r="M22" s="102">
        <f t="shared" si="9"/>
        <v>0</v>
      </c>
      <c r="N22" s="102">
        <f t="shared" si="10"/>
        <v>6086.85</v>
      </c>
      <c r="O22" s="102">
        <f t="shared" si="11"/>
        <v>0</v>
      </c>
      <c r="P22" s="103">
        <f t="shared" si="12"/>
        <v>6086.85</v>
      </c>
    </row>
    <row r="23" spans="1:16" s="56" customFormat="1" ht="30.15">
      <c r="A23" s="481">
        <v>0</v>
      </c>
      <c r="B23" s="482"/>
      <c r="C23" s="483" t="s">
        <v>1139</v>
      </c>
      <c r="D23" s="482" t="s">
        <v>136</v>
      </c>
      <c r="E23" s="473">
        <v>1</v>
      </c>
      <c r="F23" s="462"/>
      <c r="G23" s="463"/>
      <c r="H23" s="455">
        <v>0</v>
      </c>
      <c r="I23" s="464">
        <f>80*E21</f>
        <v>285.59999999999997</v>
      </c>
      <c r="J23" s="464"/>
      <c r="K23" s="102">
        <f t="shared" si="7"/>
        <v>285.59999999999997</v>
      </c>
      <c r="L23" s="50">
        <f t="shared" si="8"/>
        <v>0</v>
      </c>
      <c r="M23" s="102">
        <f t="shared" si="9"/>
        <v>0</v>
      </c>
      <c r="N23" s="102">
        <f t="shared" si="10"/>
        <v>285.60000000000002</v>
      </c>
      <c r="O23" s="102">
        <f t="shared" si="11"/>
        <v>0</v>
      </c>
      <c r="P23" s="103">
        <f t="shared" si="12"/>
        <v>285.60000000000002</v>
      </c>
    </row>
    <row r="24" spans="1:16">
      <c r="A24" s="28"/>
      <c r="B24" s="33"/>
      <c r="C24" s="16"/>
      <c r="D24" s="18"/>
      <c r="E24" s="29"/>
      <c r="F24" s="30"/>
      <c r="G24" s="30"/>
      <c r="H24" s="31"/>
      <c r="I24" s="29"/>
      <c r="J24" s="29"/>
      <c r="K24" s="29"/>
      <c r="L24" s="30"/>
      <c r="M24" s="29"/>
      <c r="N24" s="29"/>
      <c r="O24" s="29"/>
      <c r="P24" s="32"/>
    </row>
    <row r="25" spans="1:16" ht="15.05" customHeight="1">
      <c r="A25" s="41"/>
      <c r="B25" s="41"/>
      <c r="C25" s="932" t="s">
        <v>98</v>
      </c>
      <c r="D25" s="933"/>
      <c r="E25" s="933"/>
      <c r="F25" s="933"/>
      <c r="G25" s="933"/>
      <c r="H25" s="933"/>
      <c r="I25" s="933"/>
      <c r="J25" s="933"/>
      <c r="K25" s="933"/>
      <c r="L25" s="42">
        <f>SUM(L13:L24)</f>
        <v>801.45999999999992</v>
      </c>
      <c r="M25" s="42">
        <f>SUM(M13:M24)</f>
        <v>7629.7000000000007</v>
      </c>
      <c r="N25" s="42">
        <f>SUM(N13:N24)</f>
        <v>27935.25</v>
      </c>
      <c r="O25" s="42">
        <f>SUM(O13:O24)</f>
        <v>3927.96</v>
      </c>
      <c r="P25" s="42">
        <f>SUM(P13:P24)</f>
        <v>39492.909999999996</v>
      </c>
    </row>
    <row r="26" spans="1:16" s="125" customFormat="1" collapsed="1">
      <c r="I26" s="146"/>
    </row>
    <row r="27" spans="1:16" s="122" customFormat="1" ht="12.8" customHeight="1">
      <c r="B27" s="147" t="s">
        <v>54</v>
      </c>
    </row>
    <row r="28" spans="1:16" s="122" customFormat="1" ht="45" customHeight="1">
      <c r="A28"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28" s="926"/>
      <c r="C28" s="926"/>
      <c r="D28" s="926"/>
      <c r="E28" s="926"/>
      <c r="F28" s="926"/>
      <c r="G28" s="926"/>
      <c r="H28" s="926"/>
      <c r="I28" s="926"/>
      <c r="J28" s="926"/>
      <c r="K28" s="926"/>
      <c r="L28" s="926"/>
      <c r="M28" s="926"/>
      <c r="N28" s="926"/>
      <c r="O28" s="926"/>
      <c r="P28" s="926"/>
    </row>
    <row r="29" spans="1:16" s="122" customFormat="1" ht="77.25" customHeight="1">
      <c r="A29" s="925"/>
      <c r="B29" s="925"/>
      <c r="C29" s="925"/>
      <c r="D29" s="925"/>
      <c r="E29" s="925"/>
      <c r="F29" s="925"/>
      <c r="G29" s="925"/>
      <c r="H29" s="925"/>
      <c r="I29" s="925"/>
      <c r="J29" s="925"/>
      <c r="K29" s="925"/>
      <c r="L29" s="925"/>
      <c r="M29" s="925"/>
      <c r="N29" s="925"/>
      <c r="O29" s="925"/>
      <c r="P29" s="925"/>
    </row>
    <row r="30" spans="1:16" s="122" customFormat="1" ht="12.8" customHeight="1">
      <c r="B30" s="148"/>
    </row>
    <row r="31" spans="1:16" s="122" customFormat="1" ht="12.8" customHeight="1">
      <c r="B31" s="148"/>
    </row>
    <row r="32" spans="1:16" s="125" customFormat="1">
      <c r="B32" s="125" t="s">
        <v>8</v>
      </c>
      <c r="L32" s="157" t="str">
        <f>Koptame!B39</f>
        <v>Pārbaudīja:</v>
      </c>
      <c r="M32" s="157"/>
      <c r="N32" s="157"/>
      <c r="O32" s="157"/>
      <c r="P32" s="157"/>
    </row>
    <row r="33" spans="2:16" s="125" customFormat="1" ht="14.25" customHeight="1">
      <c r="C33" s="178" t="str">
        <f>Koptame!C34</f>
        <v>Arnis Gailītis</v>
      </c>
      <c r="L33" s="178"/>
      <c r="M33" s="922" t="str">
        <f>Koptame!C40</f>
        <v>Dzintra Cīrule</v>
      </c>
      <c r="N33" s="922"/>
      <c r="O33" s="157"/>
      <c r="P33" s="157"/>
    </row>
    <row r="34" spans="2:16" s="125" customFormat="1">
      <c r="C34" s="179" t="str">
        <f>Koptame!C35</f>
        <v>Sertifikāta Nr.20-5643</v>
      </c>
      <c r="L34" s="179"/>
      <c r="M34" s="923" t="str">
        <f>Koptame!C41</f>
        <v>Sertifikāta Nr.10-0363</v>
      </c>
      <c r="N34" s="923"/>
      <c r="O34" s="157"/>
      <c r="P34" s="157"/>
    </row>
    <row r="35" spans="2:16" s="125" customFormat="1" collapsed="1">
      <c r="B35" s="146"/>
      <c r="F35" s="146"/>
      <c r="G35" s="146"/>
    </row>
  </sheetData>
  <mergeCells count="17">
    <mergeCell ref="M33:N33"/>
    <mergeCell ref="M34:N34"/>
    <mergeCell ref="L11:P11"/>
    <mergeCell ref="A29:P29"/>
    <mergeCell ref="A28:P28"/>
    <mergeCell ref="A11:A12"/>
    <mergeCell ref="B11:B12"/>
    <mergeCell ref="C11:C12"/>
    <mergeCell ref="D11:D12"/>
    <mergeCell ref="C25:K25"/>
    <mergeCell ref="E11:E12"/>
    <mergeCell ref="F11:K11"/>
    <mergeCell ref="A2:P2"/>
    <mergeCell ref="L9:O9"/>
    <mergeCell ref="D3:P3"/>
    <mergeCell ref="D4:P4"/>
    <mergeCell ref="D5:P5"/>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68"/>
  <sheetViews>
    <sheetView showZeros="0" view="pageBreakPreview" topLeftCell="A10" zoomScale="90" zoomScaleNormal="100" zoomScaleSheetLayoutView="90" workbookViewId="0">
      <selection activeCell="C46" sqref="C46"/>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kops1!B25</f>
        <v>1,5</v>
      </c>
      <c r="I1" s="53"/>
    </row>
    <row r="2" spans="1:16" s="24" customFormat="1">
      <c r="A2" s="919" t="str">
        <f>C13</f>
        <v>Jumti</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P58</f>
        <v>484089.77999999997</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kops1!C25</f>
        <v>Jumti</v>
      </c>
      <c r="D13" s="14"/>
      <c r="E13" s="15"/>
      <c r="F13" s="50">
        <v>0</v>
      </c>
      <c r="G13" s="50">
        <v>0</v>
      </c>
      <c r="H13" s="31">
        <v>0</v>
      </c>
      <c r="I13" s="29">
        <v>0</v>
      </c>
      <c r="J13" s="29">
        <v>0</v>
      </c>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30.15">
      <c r="A14" s="481">
        <v>0</v>
      </c>
      <c r="B14" s="482"/>
      <c r="C14" s="472" t="s">
        <v>1232</v>
      </c>
      <c r="D14" s="482"/>
      <c r="E14" s="473"/>
      <c r="F14" s="462"/>
      <c r="G14" s="463"/>
      <c r="H14" s="455"/>
      <c r="I14" s="464"/>
      <c r="J14" s="464"/>
      <c r="K14" s="102">
        <f>SUM(H14:J14)</f>
        <v>0</v>
      </c>
      <c r="L14" s="50">
        <f>ROUND(F14*E14,2)</f>
        <v>0</v>
      </c>
      <c r="M14" s="102">
        <f>ROUND(H14*E14,2)</f>
        <v>0</v>
      </c>
      <c r="N14" s="102">
        <f>ROUND(I14*E14,2)</f>
        <v>0</v>
      </c>
      <c r="O14" s="102">
        <f>ROUND(J14*E14,2)</f>
        <v>0</v>
      </c>
      <c r="P14" s="103">
        <f>SUM(M14:O14)</f>
        <v>0</v>
      </c>
    </row>
    <row r="15" spans="1:16" s="56" customFormat="1" ht="30.15">
      <c r="A15" s="481">
        <v>1</v>
      </c>
      <c r="B15" s="482"/>
      <c r="C15" s="483" t="s">
        <v>1137</v>
      </c>
      <c r="D15" s="482" t="s">
        <v>1120</v>
      </c>
      <c r="E15" s="473">
        <v>33.409999999999997</v>
      </c>
      <c r="F15" s="462">
        <f t="shared" ref="F15:F21" si="6">ROUND(H15/G15,2)</f>
        <v>18.95</v>
      </c>
      <c r="G15" s="463">
        <v>9.5</v>
      </c>
      <c r="H15" s="455">
        <v>180</v>
      </c>
      <c r="I15" s="464"/>
      <c r="J15" s="464">
        <v>40</v>
      </c>
      <c r="K15" s="102">
        <f t="shared" ref="K15:K55" si="7">SUM(H15:J15)</f>
        <v>220</v>
      </c>
      <c r="L15" s="50">
        <f t="shared" ref="L15:L55" si="8">ROUND(F15*E15,2)</f>
        <v>633.12</v>
      </c>
      <c r="M15" s="102">
        <f t="shared" ref="M15:M55" si="9">ROUND(H15*E15,2)</f>
        <v>6013.8</v>
      </c>
      <c r="N15" s="102">
        <f t="shared" ref="N15:N55" si="10">ROUND(I15*E15,2)</f>
        <v>0</v>
      </c>
      <c r="O15" s="102">
        <f t="shared" ref="O15:O55" si="11">ROUND(J15*E15,2)</f>
        <v>1336.4</v>
      </c>
      <c r="P15" s="103">
        <f t="shared" ref="P15:P55" si="12">SUM(M15:O15)</f>
        <v>7350.2000000000007</v>
      </c>
    </row>
    <row r="16" spans="1:16" s="56" customFormat="1" ht="30.15">
      <c r="A16" s="481">
        <v>0</v>
      </c>
      <c r="B16" s="482"/>
      <c r="C16" s="483" t="s">
        <v>1138</v>
      </c>
      <c r="D16" s="482" t="s">
        <v>1120</v>
      </c>
      <c r="E16" s="473">
        <f>E15*1.1</f>
        <v>36.750999999999998</v>
      </c>
      <c r="F16" s="462"/>
      <c r="G16" s="463"/>
      <c r="H16" s="455">
        <v>0</v>
      </c>
      <c r="I16" s="464">
        <v>1550</v>
      </c>
      <c r="J16" s="464"/>
      <c r="K16" s="102">
        <f t="shared" si="7"/>
        <v>1550</v>
      </c>
      <c r="L16" s="50">
        <f t="shared" si="8"/>
        <v>0</v>
      </c>
      <c r="M16" s="102">
        <f t="shared" si="9"/>
        <v>0</v>
      </c>
      <c r="N16" s="102">
        <f t="shared" si="10"/>
        <v>56964.05</v>
      </c>
      <c r="O16" s="102">
        <f t="shared" si="11"/>
        <v>0</v>
      </c>
      <c r="P16" s="103">
        <f t="shared" si="12"/>
        <v>56964.05</v>
      </c>
    </row>
    <row r="17" spans="1:16" s="56" customFormat="1" ht="15.05">
      <c r="A17" s="481">
        <v>0</v>
      </c>
      <c r="B17" s="482"/>
      <c r="C17" s="483" t="s">
        <v>1233</v>
      </c>
      <c r="D17" s="482" t="s">
        <v>136</v>
      </c>
      <c r="E17" s="473">
        <v>1</v>
      </c>
      <c r="F17" s="462"/>
      <c r="G17" s="463"/>
      <c r="H17" s="455">
        <v>0</v>
      </c>
      <c r="I17" s="464">
        <f>80*E15</f>
        <v>2672.7999999999997</v>
      </c>
      <c r="J17" s="464"/>
      <c r="K17" s="102">
        <f t="shared" ref="K17:K22" si="13">SUM(H17:J17)</f>
        <v>2672.7999999999997</v>
      </c>
      <c r="L17" s="50">
        <f t="shared" ref="L17:L22" si="14">ROUND(F17*E17,2)</f>
        <v>0</v>
      </c>
      <c r="M17" s="102">
        <f t="shared" ref="M17:M22" si="15">ROUND(H17*E17,2)</f>
        <v>0</v>
      </c>
      <c r="N17" s="102">
        <f t="shared" ref="N17:N22" si="16">ROUND(I17*E17,2)</f>
        <v>2672.8</v>
      </c>
      <c r="O17" s="102">
        <f t="shared" ref="O17:O22" si="17">ROUND(J17*E17,2)</f>
        <v>0</v>
      </c>
      <c r="P17" s="103">
        <f t="shared" ref="P17:P22" si="18">SUM(M17:O17)</f>
        <v>2672.8</v>
      </c>
    </row>
    <row r="18" spans="1:16" s="1" customFormat="1" ht="15.05">
      <c r="A18" s="525" t="s">
        <v>1458</v>
      </c>
      <c r="B18" s="621"/>
      <c r="C18" s="492" t="s">
        <v>1460</v>
      </c>
      <c r="D18" s="545" t="s">
        <v>111</v>
      </c>
      <c r="E18" s="674">
        <v>500</v>
      </c>
      <c r="F18" s="622">
        <v>0.2</v>
      </c>
      <c r="G18" s="220">
        <v>9.1</v>
      </c>
      <c r="H18" s="623">
        <f t="shared" ref="H18" si="19">ROUND(F18*G18,2)</f>
        <v>1.82</v>
      </c>
      <c r="I18" s="426">
        <v>5.6</v>
      </c>
      <c r="J18" s="427">
        <v>0.06</v>
      </c>
      <c r="K18" s="102">
        <f t="shared" si="13"/>
        <v>7.4799999999999995</v>
      </c>
      <c r="L18" s="50">
        <f t="shared" si="14"/>
        <v>100</v>
      </c>
      <c r="M18" s="102">
        <f t="shared" si="15"/>
        <v>910</v>
      </c>
      <c r="N18" s="102">
        <f t="shared" si="16"/>
        <v>2800</v>
      </c>
      <c r="O18" s="102">
        <f t="shared" si="17"/>
        <v>30</v>
      </c>
      <c r="P18" s="103">
        <f t="shared" si="18"/>
        <v>3740</v>
      </c>
    </row>
    <row r="19" spans="1:16" s="1" customFormat="1" ht="15.05">
      <c r="A19" s="525" t="s">
        <v>1459</v>
      </c>
      <c r="B19" s="621"/>
      <c r="C19" s="492" t="s">
        <v>1461</v>
      </c>
      <c r="D19" s="545" t="s">
        <v>111</v>
      </c>
      <c r="E19" s="674">
        <v>515</v>
      </c>
      <c r="F19" s="622">
        <v>0.1</v>
      </c>
      <c r="G19" s="220">
        <v>9.1</v>
      </c>
      <c r="H19" s="623">
        <f t="shared" ref="H19" si="20">ROUND(F19*G19,2)</f>
        <v>0.91</v>
      </c>
      <c r="I19" s="426">
        <v>1.48</v>
      </c>
      <c r="J19" s="427">
        <v>0.05</v>
      </c>
      <c r="K19" s="102">
        <f t="shared" si="13"/>
        <v>2.44</v>
      </c>
      <c r="L19" s="50">
        <f t="shared" si="14"/>
        <v>51.5</v>
      </c>
      <c r="M19" s="102">
        <f t="shared" si="15"/>
        <v>468.65</v>
      </c>
      <c r="N19" s="102">
        <f t="shared" si="16"/>
        <v>762.2</v>
      </c>
      <c r="O19" s="102">
        <f t="shared" si="17"/>
        <v>25.75</v>
      </c>
      <c r="P19" s="103">
        <f t="shared" si="18"/>
        <v>1256.5999999999999</v>
      </c>
    </row>
    <row r="20" spans="1:16" s="56" customFormat="1" ht="30.15">
      <c r="A20" s="481">
        <v>0</v>
      </c>
      <c r="B20" s="482"/>
      <c r="C20" s="472" t="s">
        <v>1234</v>
      </c>
      <c r="D20" s="482"/>
      <c r="E20" s="473"/>
      <c r="F20" s="462"/>
      <c r="G20" s="463"/>
      <c r="H20" s="455"/>
      <c r="I20" s="464"/>
      <c r="J20" s="464"/>
      <c r="K20" s="102">
        <f t="shared" si="13"/>
        <v>0</v>
      </c>
      <c r="L20" s="50">
        <f t="shared" si="14"/>
        <v>0</v>
      </c>
      <c r="M20" s="102">
        <f t="shared" si="15"/>
        <v>0</v>
      </c>
      <c r="N20" s="102">
        <f t="shared" si="16"/>
        <v>0</v>
      </c>
      <c r="O20" s="102">
        <f t="shared" si="17"/>
        <v>0</v>
      </c>
      <c r="P20" s="103">
        <f t="shared" si="18"/>
        <v>0</v>
      </c>
    </row>
    <row r="21" spans="1:16" s="56" customFormat="1" ht="30.15">
      <c r="A21" s="481">
        <v>2</v>
      </c>
      <c r="B21" s="482"/>
      <c r="C21" s="483" t="s">
        <v>1137</v>
      </c>
      <c r="D21" s="482" t="s">
        <v>1120</v>
      </c>
      <c r="E21" s="674">
        <v>44.89</v>
      </c>
      <c r="F21" s="462">
        <f t="shared" si="6"/>
        <v>18.95</v>
      </c>
      <c r="G21" s="463">
        <v>9.5</v>
      </c>
      <c r="H21" s="455">
        <v>180</v>
      </c>
      <c r="I21" s="464"/>
      <c r="J21" s="464">
        <v>40</v>
      </c>
      <c r="K21" s="102">
        <f t="shared" si="13"/>
        <v>220</v>
      </c>
      <c r="L21" s="50">
        <f t="shared" si="14"/>
        <v>850.67</v>
      </c>
      <c r="M21" s="102">
        <f t="shared" si="15"/>
        <v>8080.2</v>
      </c>
      <c r="N21" s="102">
        <f t="shared" si="16"/>
        <v>0</v>
      </c>
      <c r="O21" s="102">
        <f t="shared" si="17"/>
        <v>1795.6</v>
      </c>
      <c r="P21" s="103">
        <f t="shared" si="18"/>
        <v>9875.7999999999993</v>
      </c>
    </row>
    <row r="22" spans="1:16" s="56" customFormat="1" ht="30.15">
      <c r="A22" s="481">
        <v>0</v>
      </c>
      <c r="B22" s="482"/>
      <c r="C22" s="483" t="s">
        <v>1138</v>
      </c>
      <c r="D22" s="482" t="s">
        <v>1120</v>
      </c>
      <c r="E22" s="674">
        <f>E21*1.1</f>
        <v>49.379000000000005</v>
      </c>
      <c r="F22" s="462"/>
      <c r="G22" s="463"/>
      <c r="H22" s="455">
        <v>0</v>
      </c>
      <c r="I22" s="464">
        <v>1550</v>
      </c>
      <c r="J22" s="464"/>
      <c r="K22" s="102">
        <f t="shared" si="13"/>
        <v>1550</v>
      </c>
      <c r="L22" s="50">
        <f t="shared" si="14"/>
        <v>0</v>
      </c>
      <c r="M22" s="102">
        <f t="shared" si="15"/>
        <v>0</v>
      </c>
      <c r="N22" s="102">
        <f t="shared" si="16"/>
        <v>76537.45</v>
      </c>
      <c r="O22" s="102">
        <f t="shared" si="17"/>
        <v>0</v>
      </c>
      <c r="P22" s="103">
        <f t="shared" si="18"/>
        <v>76537.45</v>
      </c>
    </row>
    <row r="23" spans="1:16" s="56" customFormat="1" ht="15.05">
      <c r="A23" s="481">
        <v>0</v>
      </c>
      <c r="B23" s="482"/>
      <c r="C23" s="483" t="s">
        <v>1233</v>
      </c>
      <c r="D23" s="482" t="s">
        <v>136</v>
      </c>
      <c r="E23" s="674">
        <v>1</v>
      </c>
      <c r="F23" s="462"/>
      <c r="G23" s="463"/>
      <c r="H23" s="455">
        <v>0</v>
      </c>
      <c r="I23" s="464">
        <f>80*E21</f>
        <v>3591.2</v>
      </c>
      <c r="J23" s="464"/>
      <c r="K23" s="102">
        <f t="shared" si="7"/>
        <v>3591.2</v>
      </c>
      <c r="L23" s="50">
        <f t="shared" si="8"/>
        <v>0</v>
      </c>
      <c r="M23" s="102">
        <f t="shared" si="9"/>
        <v>0</v>
      </c>
      <c r="N23" s="102">
        <f t="shared" si="10"/>
        <v>3591.2</v>
      </c>
      <c r="O23" s="102">
        <f t="shared" si="11"/>
        <v>0</v>
      </c>
      <c r="P23" s="103">
        <f t="shared" si="12"/>
        <v>3591.2</v>
      </c>
    </row>
    <row r="24" spans="1:16" s="56" customFormat="1" ht="15.05">
      <c r="A24" s="481">
        <v>0</v>
      </c>
      <c r="B24" s="482"/>
      <c r="C24" s="472" t="s">
        <v>1465</v>
      </c>
      <c r="D24" s="482"/>
      <c r="E24" s="473"/>
      <c r="F24" s="462"/>
      <c r="G24" s="463"/>
      <c r="H24" s="455"/>
      <c r="I24" s="464"/>
      <c r="J24" s="464"/>
      <c r="K24" s="102">
        <f t="shared" si="7"/>
        <v>0</v>
      </c>
      <c r="L24" s="50">
        <f t="shared" si="8"/>
        <v>0</v>
      </c>
      <c r="M24" s="102">
        <f t="shared" si="9"/>
        <v>0</v>
      </c>
      <c r="N24" s="102">
        <f t="shared" si="10"/>
        <v>0</v>
      </c>
      <c r="O24" s="102">
        <f t="shared" si="11"/>
        <v>0</v>
      </c>
      <c r="P24" s="103">
        <f t="shared" si="12"/>
        <v>0</v>
      </c>
    </row>
    <row r="25" spans="1:16" s="56" customFormat="1" ht="30.15">
      <c r="A25" s="481">
        <v>2</v>
      </c>
      <c r="B25" s="482"/>
      <c r="C25" s="483" t="s">
        <v>1137</v>
      </c>
      <c r="D25" s="482" t="s">
        <v>1120</v>
      </c>
      <c r="E25" s="473">
        <f>2.89</f>
        <v>2.89</v>
      </c>
      <c r="F25" s="462">
        <f t="shared" ref="F25" si="21">ROUND(H25/G25,2)</f>
        <v>18.95</v>
      </c>
      <c r="G25" s="463">
        <v>9.5</v>
      </c>
      <c r="H25" s="455">
        <v>180</v>
      </c>
      <c r="I25" s="464"/>
      <c r="J25" s="464">
        <v>40</v>
      </c>
      <c r="K25" s="102">
        <f t="shared" si="7"/>
        <v>220</v>
      </c>
      <c r="L25" s="50">
        <f t="shared" si="8"/>
        <v>54.77</v>
      </c>
      <c r="M25" s="102">
        <f t="shared" si="9"/>
        <v>520.20000000000005</v>
      </c>
      <c r="N25" s="102">
        <f t="shared" si="10"/>
        <v>0</v>
      </c>
      <c r="O25" s="102">
        <f t="shared" si="11"/>
        <v>115.6</v>
      </c>
      <c r="P25" s="103">
        <f t="shared" si="12"/>
        <v>635.80000000000007</v>
      </c>
    </row>
    <row r="26" spans="1:16" s="56" customFormat="1" ht="30.15">
      <c r="A26" s="481">
        <v>0</v>
      </c>
      <c r="B26" s="482"/>
      <c r="C26" s="483" t="s">
        <v>1138</v>
      </c>
      <c r="D26" s="482" t="s">
        <v>1120</v>
      </c>
      <c r="E26" s="473">
        <f>E25*1.1</f>
        <v>3.1790000000000003</v>
      </c>
      <c r="F26" s="462"/>
      <c r="G26" s="463"/>
      <c r="H26" s="455">
        <v>0</v>
      </c>
      <c r="I26" s="464">
        <v>1550</v>
      </c>
      <c r="J26" s="464"/>
      <c r="K26" s="102">
        <f t="shared" ref="K26:K33" si="22">SUM(H26:J26)</f>
        <v>1550</v>
      </c>
      <c r="L26" s="50">
        <f t="shared" ref="L26:L33" si="23">ROUND(F26*E26,2)</f>
        <v>0</v>
      </c>
      <c r="M26" s="102">
        <f t="shared" ref="M26:M33" si="24">ROUND(H26*E26,2)</f>
        <v>0</v>
      </c>
      <c r="N26" s="102">
        <f t="shared" ref="N26:N33" si="25">ROUND(I26*E26,2)</f>
        <v>4927.45</v>
      </c>
      <c r="O26" s="102">
        <f t="shared" ref="O26:O33" si="26">ROUND(J26*E26,2)</f>
        <v>0</v>
      </c>
      <c r="P26" s="103">
        <f t="shared" ref="P26:P33" si="27">SUM(M26:O26)</f>
        <v>4927.45</v>
      </c>
    </row>
    <row r="27" spans="1:16" s="56" customFormat="1" ht="15.05">
      <c r="A27" s="481">
        <v>0</v>
      </c>
      <c r="B27" s="482"/>
      <c r="C27" s="483" t="s">
        <v>1233</v>
      </c>
      <c r="D27" s="482" t="s">
        <v>136</v>
      </c>
      <c r="E27" s="473">
        <v>1</v>
      </c>
      <c r="F27" s="462"/>
      <c r="G27" s="463"/>
      <c r="H27" s="455">
        <v>0</v>
      </c>
      <c r="I27" s="464">
        <f>80*E25</f>
        <v>231.20000000000002</v>
      </c>
      <c r="J27" s="464"/>
      <c r="K27" s="102">
        <f t="shared" si="22"/>
        <v>231.20000000000002</v>
      </c>
      <c r="L27" s="50">
        <f t="shared" si="23"/>
        <v>0</v>
      </c>
      <c r="M27" s="102">
        <f t="shared" si="24"/>
        <v>0</v>
      </c>
      <c r="N27" s="102">
        <f t="shared" si="25"/>
        <v>231.2</v>
      </c>
      <c r="O27" s="102">
        <f t="shared" si="26"/>
        <v>0</v>
      </c>
      <c r="P27" s="103">
        <f t="shared" si="27"/>
        <v>231.2</v>
      </c>
    </row>
    <row r="28" spans="1:16" s="626" customFormat="1" ht="24.9">
      <c r="A28" s="525" t="s">
        <v>1467</v>
      </c>
      <c r="B28" s="624"/>
      <c r="C28" s="625" t="s">
        <v>1466</v>
      </c>
      <c r="D28" s="424" t="s">
        <v>884</v>
      </c>
      <c r="E28" s="473">
        <v>1.92</v>
      </c>
      <c r="F28" s="622">
        <v>36.799999999999997</v>
      </c>
      <c r="G28" s="220">
        <v>9.1</v>
      </c>
      <c r="H28" s="623">
        <f t="shared" ref="H28:H29" si="28">ROUND(F28*G28,2)</f>
        <v>334.88</v>
      </c>
      <c r="I28" s="426">
        <v>305</v>
      </c>
      <c r="J28" s="427">
        <v>7.26</v>
      </c>
      <c r="K28" s="102">
        <f t="shared" si="22"/>
        <v>647.14</v>
      </c>
      <c r="L28" s="50">
        <f t="shared" si="23"/>
        <v>70.66</v>
      </c>
      <c r="M28" s="102">
        <f t="shared" si="24"/>
        <v>642.97</v>
      </c>
      <c r="N28" s="102">
        <f t="shared" si="25"/>
        <v>585.6</v>
      </c>
      <c r="O28" s="102">
        <f t="shared" si="26"/>
        <v>13.94</v>
      </c>
      <c r="P28" s="103">
        <f t="shared" si="27"/>
        <v>1242.5100000000002</v>
      </c>
    </row>
    <row r="29" spans="1:16" s="56" customFormat="1" ht="24.9">
      <c r="A29" s="627" t="s">
        <v>1468</v>
      </c>
      <c r="B29" s="507"/>
      <c r="C29" s="494" t="s">
        <v>1259</v>
      </c>
      <c r="D29" s="486" t="s">
        <v>29</v>
      </c>
      <c r="E29" s="487">
        <v>90</v>
      </c>
      <c r="F29" s="462">
        <v>1.3</v>
      </c>
      <c r="G29" s="463">
        <v>9.5</v>
      </c>
      <c r="H29" s="455">
        <f t="shared" si="28"/>
        <v>12.35</v>
      </c>
      <c r="I29" s="464">
        <v>11.1</v>
      </c>
      <c r="J29" s="464">
        <v>1.4</v>
      </c>
      <c r="K29" s="102">
        <f t="shared" si="22"/>
        <v>24.849999999999998</v>
      </c>
      <c r="L29" s="50">
        <f t="shared" si="23"/>
        <v>117</v>
      </c>
      <c r="M29" s="102">
        <f t="shared" si="24"/>
        <v>1111.5</v>
      </c>
      <c r="N29" s="102">
        <f t="shared" si="25"/>
        <v>999</v>
      </c>
      <c r="O29" s="102">
        <f t="shared" si="26"/>
        <v>126</v>
      </c>
      <c r="P29" s="103">
        <f t="shared" si="27"/>
        <v>2236.5</v>
      </c>
    </row>
    <row r="30" spans="1:16" s="56" customFormat="1" ht="15.05">
      <c r="A30" s="481">
        <v>0</v>
      </c>
      <c r="B30" s="482"/>
      <c r="C30" s="472" t="s">
        <v>1235</v>
      </c>
      <c r="D30" s="482"/>
      <c r="E30" s="473"/>
      <c r="F30" s="462"/>
      <c r="G30" s="463"/>
      <c r="H30" s="455"/>
      <c r="I30" s="464"/>
      <c r="J30" s="464"/>
      <c r="K30" s="102">
        <f t="shared" si="22"/>
        <v>0</v>
      </c>
      <c r="L30" s="50">
        <f t="shared" si="23"/>
        <v>0</v>
      </c>
      <c r="M30" s="102">
        <f t="shared" si="24"/>
        <v>0</v>
      </c>
      <c r="N30" s="102">
        <f t="shared" si="25"/>
        <v>0</v>
      </c>
      <c r="O30" s="102">
        <f t="shared" si="26"/>
        <v>0</v>
      </c>
      <c r="P30" s="103">
        <f t="shared" si="27"/>
        <v>0</v>
      </c>
    </row>
    <row r="31" spans="1:16" s="56" customFormat="1">
      <c r="A31" s="474">
        <v>3</v>
      </c>
      <c r="B31" s="507"/>
      <c r="C31" s="492" t="s">
        <v>1236</v>
      </c>
      <c r="D31" s="486" t="s">
        <v>29</v>
      </c>
      <c r="E31" s="487">
        <v>3963</v>
      </c>
      <c r="F31" s="622">
        <v>0.5</v>
      </c>
      <c r="G31" s="463">
        <v>9.5</v>
      </c>
      <c r="H31" s="455">
        <f t="shared" ref="H31:H55" si="29">ROUND(F31*G31,2)</f>
        <v>4.75</v>
      </c>
      <c r="I31" s="464"/>
      <c r="J31" s="464">
        <v>1.4</v>
      </c>
      <c r="K31" s="102">
        <f t="shared" si="22"/>
        <v>6.15</v>
      </c>
      <c r="L31" s="50">
        <f t="shared" si="23"/>
        <v>1981.5</v>
      </c>
      <c r="M31" s="102">
        <f t="shared" si="24"/>
        <v>18824.25</v>
      </c>
      <c r="N31" s="102">
        <f t="shared" si="25"/>
        <v>0</v>
      </c>
      <c r="O31" s="102">
        <f t="shared" si="26"/>
        <v>5548.2</v>
      </c>
      <c r="P31" s="103">
        <f t="shared" si="27"/>
        <v>24372.45</v>
      </c>
    </row>
    <row r="32" spans="1:16" s="56" customFormat="1">
      <c r="A32" s="474">
        <v>0</v>
      </c>
      <c r="B32" s="507"/>
      <c r="C32" s="501" t="s">
        <v>1237</v>
      </c>
      <c r="D32" s="486" t="s">
        <v>29</v>
      </c>
      <c r="E32" s="487">
        <f>E31*1.15</f>
        <v>4557.45</v>
      </c>
      <c r="F32" s="462"/>
      <c r="G32" s="463"/>
      <c r="H32" s="455">
        <f t="shared" si="29"/>
        <v>0</v>
      </c>
      <c r="I32" s="464">
        <v>13.72</v>
      </c>
      <c r="J32" s="464"/>
      <c r="K32" s="102">
        <f t="shared" si="22"/>
        <v>13.72</v>
      </c>
      <c r="L32" s="50">
        <f t="shared" si="23"/>
        <v>0</v>
      </c>
      <c r="M32" s="102">
        <f t="shared" si="24"/>
        <v>0</v>
      </c>
      <c r="N32" s="102">
        <f t="shared" si="25"/>
        <v>62528.21</v>
      </c>
      <c r="O32" s="102">
        <f t="shared" si="26"/>
        <v>0</v>
      </c>
      <c r="P32" s="103">
        <f t="shared" si="27"/>
        <v>62528.21</v>
      </c>
    </row>
    <row r="33" spans="1:16" s="56" customFormat="1">
      <c r="A33" s="474">
        <v>0</v>
      </c>
      <c r="B33" s="507"/>
      <c r="C33" s="501" t="s">
        <v>1238</v>
      </c>
      <c r="D33" s="486" t="s">
        <v>136</v>
      </c>
      <c r="E33" s="487">
        <v>1</v>
      </c>
      <c r="F33" s="462"/>
      <c r="G33" s="463"/>
      <c r="H33" s="455">
        <f t="shared" si="29"/>
        <v>0</v>
      </c>
      <c r="I33" s="464">
        <f>E31*0.7</f>
        <v>2774.1</v>
      </c>
      <c r="J33" s="464"/>
      <c r="K33" s="102">
        <f t="shared" si="22"/>
        <v>2774.1</v>
      </c>
      <c r="L33" s="50">
        <f t="shared" si="23"/>
        <v>0</v>
      </c>
      <c r="M33" s="102">
        <f t="shared" si="24"/>
        <v>0</v>
      </c>
      <c r="N33" s="102">
        <f t="shared" si="25"/>
        <v>2774.1</v>
      </c>
      <c r="O33" s="102">
        <f t="shared" si="26"/>
        <v>0</v>
      </c>
      <c r="P33" s="103">
        <f t="shared" si="27"/>
        <v>2774.1</v>
      </c>
    </row>
    <row r="34" spans="1:16" s="56" customFormat="1">
      <c r="A34" s="474">
        <v>4</v>
      </c>
      <c r="B34" s="499"/>
      <c r="C34" s="492" t="s">
        <v>1239</v>
      </c>
      <c r="D34" s="486" t="s">
        <v>29</v>
      </c>
      <c r="E34" s="487">
        <f>E31</f>
        <v>3963</v>
      </c>
      <c r="F34" s="462">
        <v>0.15</v>
      </c>
      <c r="G34" s="463">
        <v>9.5</v>
      </c>
      <c r="H34" s="455">
        <f t="shared" si="29"/>
        <v>1.43</v>
      </c>
      <c r="I34" s="464"/>
      <c r="J34" s="464">
        <v>0.03</v>
      </c>
      <c r="K34" s="102">
        <f t="shared" si="7"/>
        <v>1.46</v>
      </c>
      <c r="L34" s="50">
        <f t="shared" si="8"/>
        <v>594.45000000000005</v>
      </c>
      <c r="M34" s="102">
        <f t="shared" si="9"/>
        <v>5667.09</v>
      </c>
      <c r="N34" s="102">
        <f t="shared" si="10"/>
        <v>0</v>
      </c>
      <c r="O34" s="102">
        <f t="shared" si="11"/>
        <v>118.89</v>
      </c>
      <c r="P34" s="103">
        <f t="shared" si="12"/>
        <v>5785.9800000000005</v>
      </c>
    </row>
    <row r="35" spans="1:16" s="56" customFormat="1">
      <c r="A35" s="474">
        <v>0</v>
      </c>
      <c r="B35" s="499"/>
      <c r="C35" s="508" t="s">
        <v>1240</v>
      </c>
      <c r="D35" s="486" t="s">
        <v>29</v>
      </c>
      <c r="E35" s="487">
        <f>1.05*E34</f>
        <v>4161.1500000000005</v>
      </c>
      <c r="F35" s="462"/>
      <c r="G35" s="463"/>
      <c r="H35" s="455">
        <f t="shared" si="29"/>
        <v>0</v>
      </c>
      <c r="I35" s="464">
        <v>3.29</v>
      </c>
      <c r="J35" s="464"/>
      <c r="K35" s="102">
        <f t="shared" si="7"/>
        <v>3.29</v>
      </c>
      <c r="L35" s="50">
        <f t="shared" si="8"/>
        <v>0</v>
      </c>
      <c r="M35" s="102">
        <f t="shared" si="9"/>
        <v>0</v>
      </c>
      <c r="N35" s="102">
        <f t="shared" si="10"/>
        <v>13690.18</v>
      </c>
      <c r="O35" s="102">
        <f t="shared" si="11"/>
        <v>0</v>
      </c>
      <c r="P35" s="103">
        <f t="shared" si="12"/>
        <v>13690.18</v>
      </c>
    </row>
    <row r="36" spans="1:16" s="56" customFormat="1">
      <c r="A36" s="474">
        <v>5</v>
      </c>
      <c r="B36" s="499"/>
      <c r="C36" s="500" t="s">
        <v>1241</v>
      </c>
      <c r="D36" s="491" t="s">
        <v>29</v>
      </c>
      <c r="E36" s="509">
        <f>E34</f>
        <v>3963</v>
      </c>
      <c r="F36" s="462">
        <v>0.05</v>
      </c>
      <c r="G36" s="463">
        <v>9.5</v>
      </c>
      <c r="H36" s="455">
        <f t="shared" si="29"/>
        <v>0.48</v>
      </c>
      <c r="I36" s="464"/>
      <c r="J36" s="464">
        <v>0.02</v>
      </c>
      <c r="K36" s="102">
        <f t="shared" si="7"/>
        <v>0.5</v>
      </c>
      <c r="L36" s="50">
        <f t="shared" si="8"/>
        <v>198.15</v>
      </c>
      <c r="M36" s="102">
        <f t="shared" si="9"/>
        <v>1902.24</v>
      </c>
      <c r="N36" s="102">
        <f t="shared" si="10"/>
        <v>0</v>
      </c>
      <c r="O36" s="102">
        <f t="shared" si="11"/>
        <v>79.260000000000005</v>
      </c>
      <c r="P36" s="103">
        <f t="shared" si="12"/>
        <v>1981.5</v>
      </c>
    </row>
    <row r="37" spans="1:16" s="56" customFormat="1">
      <c r="A37" s="474">
        <v>0</v>
      </c>
      <c r="B37" s="499"/>
      <c r="C37" s="501" t="s">
        <v>1242</v>
      </c>
      <c r="D37" s="491" t="s">
        <v>29</v>
      </c>
      <c r="E37" s="509">
        <f>1.2*E36</f>
        <v>4755.5999999999995</v>
      </c>
      <c r="F37" s="462"/>
      <c r="G37" s="463"/>
      <c r="H37" s="455">
        <f t="shared" si="29"/>
        <v>0</v>
      </c>
      <c r="I37" s="464">
        <v>0.8</v>
      </c>
      <c r="J37" s="464"/>
      <c r="K37" s="102">
        <f t="shared" si="7"/>
        <v>0.8</v>
      </c>
      <c r="L37" s="50">
        <f t="shared" si="8"/>
        <v>0</v>
      </c>
      <c r="M37" s="102">
        <f t="shared" si="9"/>
        <v>0</v>
      </c>
      <c r="N37" s="102">
        <f t="shared" si="10"/>
        <v>3804.48</v>
      </c>
      <c r="O37" s="102">
        <f t="shared" si="11"/>
        <v>0</v>
      </c>
      <c r="P37" s="103">
        <f t="shared" si="12"/>
        <v>3804.48</v>
      </c>
    </row>
    <row r="38" spans="1:16" s="56" customFormat="1">
      <c r="A38" s="474">
        <v>6</v>
      </c>
      <c r="B38" s="499"/>
      <c r="C38" s="500" t="s">
        <v>1243</v>
      </c>
      <c r="D38" s="491" t="s">
        <v>29</v>
      </c>
      <c r="E38" s="509">
        <f>E36</f>
        <v>3963</v>
      </c>
      <c r="F38" s="622">
        <v>0.45</v>
      </c>
      <c r="G38" s="463">
        <v>9.5</v>
      </c>
      <c r="H38" s="455">
        <f t="shared" si="29"/>
        <v>4.28</v>
      </c>
      <c r="I38" s="464"/>
      <c r="J38" s="464">
        <v>1.4999999999999999E-2</v>
      </c>
      <c r="K38" s="102">
        <f t="shared" si="7"/>
        <v>4.2949999999999999</v>
      </c>
      <c r="L38" s="50">
        <f t="shared" si="8"/>
        <v>1783.35</v>
      </c>
      <c r="M38" s="102">
        <f t="shared" si="9"/>
        <v>16961.64</v>
      </c>
      <c r="N38" s="102">
        <f t="shared" si="10"/>
        <v>0</v>
      </c>
      <c r="O38" s="102">
        <f t="shared" si="11"/>
        <v>59.45</v>
      </c>
      <c r="P38" s="103">
        <f t="shared" si="12"/>
        <v>17021.09</v>
      </c>
    </row>
    <row r="39" spans="1:16" s="56" customFormat="1">
      <c r="A39" s="474">
        <v>0</v>
      </c>
      <c r="B39" s="499"/>
      <c r="C39" s="501" t="s">
        <v>1244</v>
      </c>
      <c r="D39" s="491" t="s">
        <v>29</v>
      </c>
      <c r="E39" s="509">
        <f>1.05*E38</f>
        <v>4161.1500000000005</v>
      </c>
      <c r="F39" s="462"/>
      <c r="G39" s="463"/>
      <c r="H39" s="455">
        <f t="shared" si="29"/>
        <v>0</v>
      </c>
      <c r="I39" s="464">
        <v>15.9</v>
      </c>
      <c r="J39" s="464"/>
      <c r="K39" s="102">
        <f t="shared" si="7"/>
        <v>15.9</v>
      </c>
      <c r="L39" s="50">
        <f t="shared" si="8"/>
        <v>0</v>
      </c>
      <c r="M39" s="102">
        <f t="shared" si="9"/>
        <v>0</v>
      </c>
      <c r="N39" s="102">
        <f t="shared" si="10"/>
        <v>66162.289999999994</v>
      </c>
      <c r="O39" s="102">
        <f t="shared" si="11"/>
        <v>0</v>
      </c>
      <c r="P39" s="103">
        <f t="shared" si="12"/>
        <v>66162.289999999994</v>
      </c>
    </row>
    <row r="40" spans="1:16" s="56" customFormat="1">
      <c r="A40" s="474">
        <v>7</v>
      </c>
      <c r="B40" s="499"/>
      <c r="C40" s="492" t="s">
        <v>1245</v>
      </c>
      <c r="D40" s="486" t="s">
        <v>29</v>
      </c>
      <c r="E40" s="487">
        <f>E38</f>
        <v>3963</v>
      </c>
      <c r="F40" s="462">
        <v>0.15</v>
      </c>
      <c r="G40" s="463">
        <v>9.5</v>
      </c>
      <c r="H40" s="455">
        <f t="shared" si="29"/>
        <v>1.43</v>
      </c>
      <c r="I40" s="464"/>
      <c r="J40" s="464">
        <v>0.02</v>
      </c>
      <c r="K40" s="102">
        <f t="shared" si="7"/>
        <v>1.45</v>
      </c>
      <c r="L40" s="50">
        <f t="shared" si="8"/>
        <v>594.45000000000005</v>
      </c>
      <c r="M40" s="102">
        <f t="shared" si="9"/>
        <v>5667.09</v>
      </c>
      <c r="N40" s="102">
        <f t="shared" si="10"/>
        <v>0</v>
      </c>
      <c r="O40" s="102">
        <f t="shared" si="11"/>
        <v>79.260000000000005</v>
      </c>
      <c r="P40" s="103">
        <f t="shared" si="12"/>
        <v>5746.35</v>
      </c>
    </row>
    <row r="41" spans="1:16" s="56" customFormat="1">
      <c r="A41" s="474">
        <v>0</v>
      </c>
      <c r="B41" s="499"/>
      <c r="C41" s="508" t="s">
        <v>1246</v>
      </c>
      <c r="D41" s="486" t="s">
        <v>29</v>
      </c>
      <c r="E41" s="487">
        <f>1.05*E40</f>
        <v>4161.1500000000005</v>
      </c>
      <c r="F41" s="462"/>
      <c r="G41" s="463"/>
      <c r="H41" s="455">
        <f t="shared" si="29"/>
        <v>0</v>
      </c>
      <c r="I41" s="464">
        <v>5.6</v>
      </c>
      <c r="J41" s="464"/>
      <c r="K41" s="102">
        <f t="shared" si="7"/>
        <v>5.6</v>
      </c>
      <c r="L41" s="50">
        <f t="shared" si="8"/>
        <v>0</v>
      </c>
      <c r="M41" s="102">
        <f t="shared" si="9"/>
        <v>0</v>
      </c>
      <c r="N41" s="102">
        <f t="shared" si="10"/>
        <v>23302.44</v>
      </c>
      <c r="O41" s="102">
        <f t="shared" si="11"/>
        <v>0</v>
      </c>
      <c r="P41" s="103">
        <f t="shared" si="12"/>
        <v>23302.44</v>
      </c>
    </row>
    <row r="42" spans="1:16" s="56" customFormat="1" ht="24.9">
      <c r="A42" s="474">
        <v>8</v>
      </c>
      <c r="B42" s="499"/>
      <c r="C42" s="500" t="s">
        <v>1247</v>
      </c>
      <c r="D42" s="491" t="s">
        <v>29</v>
      </c>
      <c r="E42" s="509">
        <f>E40+80</f>
        <v>4043</v>
      </c>
      <c r="F42" s="462">
        <v>0.77</v>
      </c>
      <c r="G42" s="463">
        <v>9.5</v>
      </c>
      <c r="H42" s="455">
        <f t="shared" si="29"/>
        <v>7.32</v>
      </c>
      <c r="I42" s="464"/>
      <c r="J42" s="464">
        <v>0.3</v>
      </c>
      <c r="K42" s="102">
        <f t="shared" si="7"/>
        <v>7.62</v>
      </c>
      <c r="L42" s="50">
        <f t="shared" si="8"/>
        <v>3113.11</v>
      </c>
      <c r="M42" s="102">
        <f t="shared" si="9"/>
        <v>29594.76</v>
      </c>
      <c r="N42" s="102">
        <f t="shared" si="10"/>
        <v>0</v>
      </c>
      <c r="O42" s="102">
        <f t="shared" si="11"/>
        <v>1212.9000000000001</v>
      </c>
      <c r="P42" s="103">
        <f t="shared" si="12"/>
        <v>30807.66</v>
      </c>
    </row>
    <row r="43" spans="1:16" s="56" customFormat="1" ht="24.9">
      <c r="A43" s="474">
        <v>0</v>
      </c>
      <c r="B43" s="499"/>
      <c r="C43" s="501" t="s">
        <v>1248</v>
      </c>
      <c r="D43" s="491" t="s">
        <v>29</v>
      </c>
      <c r="E43" s="509">
        <f>1.17*E42</f>
        <v>4730.3099999999995</v>
      </c>
      <c r="F43" s="462"/>
      <c r="G43" s="463"/>
      <c r="H43" s="455">
        <f t="shared" si="29"/>
        <v>0</v>
      </c>
      <c r="I43" s="464">
        <v>3.48</v>
      </c>
      <c r="J43" s="464"/>
      <c r="K43" s="102">
        <f t="shared" si="7"/>
        <v>3.48</v>
      </c>
      <c r="L43" s="50">
        <f t="shared" si="8"/>
        <v>0</v>
      </c>
      <c r="M43" s="102">
        <f t="shared" si="9"/>
        <v>0</v>
      </c>
      <c r="N43" s="102">
        <f t="shared" si="10"/>
        <v>16461.48</v>
      </c>
      <c r="O43" s="102">
        <f t="shared" si="11"/>
        <v>0</v>
      </c>
      <c r="P43" s="103">
        <f t="shared" si="12"/>
        <v>16461.48</v>
      </c>
    </row>
    <row r="44" spans="1:16" s="56" customFormat="1" ht="24.9">
      <c r="A44" s="474">
        <v>0</v>
      </c>
      <c r="B44" s="499"/>
      <c r="C44" s="501" t="s">
        <v>1249</v>
      </c>
      <c r="D44" s="491" t="s">
        <v>29</v>
      </c>
      <c r="E44" s="509">
        <f>1.17*E42</f>
        <v>4730.3099999999995</v>
      </c>
      <c r="F44" s="462"/>
      <c r="G44" s="463"/>
      <c r="H44" s="455">
        <f t="shared" si="29"/>
        <v>0</v>
      </c>
      <c r="I44" s="464">
        <v>3.77</v>
      </c>
      <c r="J44" s="464"/>
      <c r="K44" s="102">
        <f t="shared" si="7"/>
        <v>3.77</v>
      </c>
      <c r="L44" s="50">
        <f t="shared" si="8"/>
        <v>0</v>
      </c>
      <c r="M44" s="102">
        <f t="shared" si="9"/>
        <v>0</v>
      </c>
      <c r="N44" s="102">
        <f t="shared" si="10"/>
        <v>17833.27</v>
      </c>
      <c r="O44" s="102">
        <f t="shared" si="11"/>
        <v>0</v>
      </c>
      <c r="P44" s="103">
        <f t="shared" si="12"/>
        <v>17833.27</v>
      </c>
    </row>
    <row r="45" spans="1:16" s="56" customFormat="1">
      <c r="A45" s="474">
        <v>9</v>
      </c>
      <c r="B45" s="499"/>
      <c r="C45" s="510" t="s">
        <v>1250</v>
      </c>
      <c r="D45" s="491" t="s">
        <v>111</v>
      </c>
      <c r="E45" s="509">
        <v>77.5</v>
      </c>
      <c r="F45" s="462">
        <v>0.35</v>
      </c>
      <c r="G45" s="463">
        <v>9.5</v>
      </c>
      <c r="H45" s="455">
        <f t="shared" si="29"/>
        <v>3.33</v>
      </c>
      <c r="I45" s="464">
        <v>2.5</v>
      </c>
      <c r="J45" s="464">
        <v>0.15</v>
      </c>
      <c r="K45" s="102">
        <f t="shared" si="7"/>
        <v>5.98</v>
      </c>
      <c r="L45" s="50">
        <f t="shared" si="8"/>
        <v>27.13</v>
      </c>
      <c r="M45" s="102">
        <f t="shared" si="9"/>
        <v>258.08</v>
      </c>
      <c r="N45" s="102">
        <f t="shared" si="10"/>
        <v>193.75</v>
      </c>
      <c r="O45" s="102">
        <f t="shared" si="11"/>
        <v>11.63</v>
      </c>
      <c r="P45" s="103">
        <f t="shared" si="12"/>
        <v>463.46</v>
      </c>
    </row>
    <row r="46" spans="1:16" s="56" customFormat="1" ht="49.75">
      <c r="A46" s="474">
        <v>10</v>
      </c>
      <c r="B46" s="484"/>
      <c r="C46" s="510" t="s">
        <v>1251</v>
      </c>
      <c r="D46" s="486" t="s">
        <v>111</v>
      </c>
      <c r="E46" s="487">
        <v>156</v>
      </c>
      <c r="F46" s="462">
        <v>0.8</v>
      </c>
      <c r="G46" s="463">
        <v>9.5</v>
      </c>
      <c r="H46" s="455">
        <f t="shared" si="29"/>
        <v>7.6</v>
      </c>
      <c r="I46" s="464">
        <v>20</v>
      </c>
      <c r="J46" s="464">
        <v>0.9</v>
      </c>
      <c r="K46" s="102">
        <f t="shared" si="7"/>
        <v>28.5</v>
      </c>
      <c r="L46" s="50">
        <f t="shared" si="8"/>
        <v>124.8</v>
      </c>
      <c r="M46" s="102">
        <f t="shared" si="9"/>
        <v>1185.5999999999999</v>
      </c>
      <c r="N46" s="102">
        <f t="shared" si="10"/>
        <v>3120</v>
      </c>
      <c r="O46" s="102">
        <f t="shared" si="11"/>
        <v>140.4</v>
      </c>
      <c r="P46" s="103">
        <f t="shared" si="12"/>
        <v>4446</v>
      </c>
    </row>
    <row r="47" spans="1:16" s="56" customFormat="1">
      <c r="A47" s="474">
        <v>11</v>
      </c>
      <c r="B47" s="499"/>
      <c r="C47" s="492" t="s">
        <v>1252</v>
      </c>
      <c r="D47" s="486" t="s">
        <v>723</v>
      </c>
      <c r="E47" s="487">
        <v>40</v>
      </c>
      <c r="F47" s="462">
        <v>0.8</v>
      </c>
      <c r="G47" s="463">
        <v>9.5</v>
      </c>
      <c r="H47" s="455">
        <f t="shared" si="29"/>
        <v>7.6</v>
      </c>
      <c r="I47" s="464">
        <v>10.16</v>
      </c>
      <c r="J47" s="464">
        <v>0.2</v>
      </c>
      <c r="K47" s="102">
        <f t="shared" si="7"/>
        <v>17.959999999999997</v>
      </c>
      <c r="L47" s="50">
        <f t="shared" si="8"/>
        <v>32</v>
      </c>
      <c r="M47" s="102">
        <f t="shared" si="9"/>
        <v>304</v>
      </c>
      <c r="N47" s="102">
        <f t="shared" si="10"/>
        <v>406.4</v>
      </c>
      <c r="O47" s="102">
        <f t="shared" si="11"/>
        <v>8</v>
      </c>
      <c r="P47" s="103">
        <f t="shared" si="12"/>
        <v>718.4</v>
      </c>
    </row>
    <row r="48" spans="1:16" s="56" customFormat="1">
      <c r="A48" s="474">
        <v>12</v>
      </c>
      <c r="B48" s="484"/>
      <c r="C48" s="511" t="s">
        <v>1587</v>
      </c>
      <c r="D48" s="512" t="s">
        <v>111</v>
      </c>
      <c r="E48" s="513">
        <v>108</v>
      </c>
      <c r="F48" s="462">
        <v>0.77</v>
      </c>
      <c r="G48" s="463">
        <v>9.5</v>
      </c>
      <c r="H48" s="455">
        <f t="shared" si="29"/>
        <v>7.32</v>
      </c>
      <c r="I48" s="464">
        <v>0</v>
      </c>
      <c r="J48" s="464">
        <v>0.57999999999999996</v>
      </c>
      <c r="K48" s="102">
        <f t="shared" si="7"/>
        <v>7.9</v>
      </c>
      <c r="L48" s="50">
        <f t="shared" si="8"/>
        <v>83.16</v>
      </c>
      <c r="M48" s="102">
        <f t="shared" si="9"/>
        <v>790.56</v>
      </c>
      <c r="N48" s="102">
        <f t="shared" si="10"/>
        <v>0</v>
      </c>
      <c r="O48" s="102">
        <f t="shared" si="11"/>
        <v>62.64</v>
      </c>
      <c r="P48" s="103">
        <f t="shared" si="12"/>
        <v>853.19999999999993</v>
      </c>
    </row>
    <row r="49" spans="1:16" s="56" customFormat="1" ht="24.9">
      <c r="A49" s="474">
        <v>0</v>
      </c>
      <c r="B49" s="484"/>
      <c r="C49" s="501" t="s">
        <v>1253</v>
      </c>
      <c r="D49" s="512" t="s">
        <v>111</v>
      </c>
      <c r="E49" s="513">
        <f>1.1*E48</f>
        <v>118.80000000000001</v>
      </c>
      <c r="F49" s="462"/>
      <c r="G49" s="463"/>
      <c r="H49" s="455">
        <f t="shared" si="29"/>
        <v>0</v>
      </c>
      <c r="I49" s="623">
        <v>17.2</v>
      </c>
      <c r="J49" s="464"/>
      <c r="K49" s="102">
        <f t="shared" si="7"/>
        <v>17.2</v>
      </c>
      <c r="L49" s="50">
        <f t="shared" si="8"/>
        <v>0</v>
      </c>
      <c r="M49" s="102">
        <f t="shared" si="9"/>
        <v>0</v>
      </c>
      <c r="N49" s="102">
        <f t="shared" si="10"/>
        <v>2043.36</v>
      </c>
      <c r="O49" s="102">
        <f t="shared" si="11"/>
        <v>0</v>
      </c>
      <c r="P49" s="103">
        <f t="shared" si="12"/>
        <v>2043.36</v>
      </c>
    </row>
    <row r="50" spans="1:16" s="56" customFormat="1">
      <c r="A50" s="474">
        <v>13</v>
      </c>
      <c r="B50" s="484"/>
      <c r="C50" s="511" t="s">
        <v>1254</v>
      </c>
      <c r="D50" s="512" t="s">
        <v>111</v>
      </c>
      <c r="E50" s="514">
        <v>154</v>
      </c>
      <c r="F50" s="462">
        <v>0.77</v>
      </c>
      <c r="G50" s="463">
        <v>9.5</v>
      </c>
      <c r="H50" s="455">
        <f t="shared" si="29"/>
        <v>7.32</v>
      </c>
      <c r="I50" s="464"/>
      <c r="J50" s="464">
        <v>0.57999999999999996</v>
      </c>
      <c r="K50" s="102">
        <f t="shared" si="7"/>
        <v>7.9</v>
      </c>
      <c r="L50" s="50">
        <f t="shared" si="8"/>
        <v>118.58</v>
      </c>
      <c r="M50" s="102">
        <f t="shared" si="9"/>
        <v>1127.28</v>
      </c>
      <c r="N50" s="102">
        <f t="shared" si="10"/>
        <v>0</v>
      </c>
      <c r="O50" s="102">
        <f t="shared" si="11"/>
        <v>89.32</v>
      </c>
      <c r="P50" s="103">
        <f t="shared" si="12"/>
        <v>1216.5999999999999</v>
      </c>
    </row>
    <row r="51" spans="1:16" s="56" customFormat="1" ht="24.9">
      <c r="A51" s="474">
        <v>0</v>
      </c>
      <c r="B51" s="484"/>
      <c r="C51" s="501" t="s">
        <v>1255</v>
      </c>
      <c r="D51" s="512" t="s">
        <v>111</v>
      </c>
      <c r="E51" s="515">
        <f>1.1*E50</f>
        <v>169.4</v>
      </c>
      <c r="F51" s="462"/>
      <c r="G51" s="463"/>
      <c r="H51" s="455">
        <f t="shared" si="29"/>
        <v>0</v>
      </c>
      <c r="I51" s="464">
        <v>16.899999999999999</v>
      </c>
      <c r="J51" s="464"/>
      <c r="K51" s="102">
        <f t="shared" si="7"/>
        <v>16.899999999999999</v>
      </c>
      <c r="L51" s="50">
        <f t="shared" si="8"/>
        <v>0</v>
      </c>
      <c r="M51" s="102">
        <f t="shared" si="9"/>
        <v>0</v>
      </c>
      <c r="N51" s="102">
        <f t="shared" si="10"/>
        <v>2862.86</v>
      </c>
      <c r="O51" s="102">
        <f t="shared" si="11"/>
        <v>0</v>
      </c>
      <c r="P51" s="103">
        <f t="shared" si="12"/>
        <v>2862.86</v>
      </c>
    </row>
    <row r="52" spans="1:16" s="56" customFormat="1">
      <c r="A52" s="474">
        <v>14</v>
      </c>
      <c r="B52" s="516"/>
      <c r="C52" s="517" t="s">
        <v>1588</v>
      </c>
      <c r="D52" s="518" t="s">
        <v>721</v>
      </c>
      <c r="E52" s="519">
        <v>1</v>
      </c>
      <c r="F52" s="462">
        <v>8</v>
      </c>
      <c r="G52" s="463">
        <v>9.5</v>
      </c>
      <c r="H52" s="455">
        <f t="shared" si="29"/>
        <v>76</v>
      </c>
      <c r="I52" s="464">
        <v>550</v>
      </c>
      <c r="J52" s="464">
        <v>8.1</v>
      </c>
      <c r="K52" s="102">
        <f t="shared" si="7"/>
        <v>634.1</v>
      </c>
      <c r="L52" s="50">
        <f t="shared" si="8"/>
        <v>8</v>
      </c>
      <c r="M52" s="102">
        <f t="shared" si="9"/>
        <v>76</v>
      </c>
      <c r="N52" s="102">
        <f t="shared" si="10"/>
        <v>550</v>
      </c>
      <c r="O52" s="102">
        <f t="shared" si="11"/>
        <v>8.1</v>
      </c>
      <c r="P52" s="103">
        <f t="shared" si="12"/>
        <v>634.1</v>
      </c>
    </row>
    <row r="53" spans="1:16" s="56" customFormat="1">
      <c r="A53" s="474">
        <v>15</v>
      </c>
      <c r="B53" s="484"/>
      <c r="C53" s="520" t="s">
        <v>1256</v>
      </c>
      <c r="D53" s="512" t="s">
        <v>111</v>
      </c>
      <c r="E53" s="514">
        <v>156</v>
      </c>
      <c r="F53" s="462">
        <v>0.6</v>
      </c>
      <c r="G53" s="463">
        <v>9.5</v>
      </c>
      <c r="H53" s="455">
        <f t="shared" si="29"/>
        <v>5.7</v>
      </c>
      <c r="I53" s="464"/>
      <c r="J53" s="464">
        <v>0.57999999999999996</v>
      </c>
      <c r="K53" s="102">
        <f t="shared" si="7"/>
        <v>6.28</v>
      </c>
      <c r="L53" s="50">
        <f t="shared" si="8"/>
        <v>93.6</v>
      </c>
      <c r="M53" s="102">
        <f t="shared" si="9"/>
        <v>889.2</v>
      </c>
      <c r="N53" s="102">
        <f t="shared" si="10"/>
        <v>0</v>
      </c>
      <c r="O53" s="102">
        <f t="shared" si="11"/>
        <v>90.48</v>
      </c>
      <c r="P53" s="103">
        <f t="shared" si="12"/>
        <v>979.68000000000006</v>
      </c>
    </row>
    <row r="54" spans="1:16" s="56" customFormat="1">
      <c r="A54" s="474">
        <v>0</v>
      </c>
      <c r="B54" s="484"/>
      <c r="C54" s="501" t="s">
        <v>1257</v>
      </c>
      <c r="D54" s="512" t="s">
        <v>111</v>
      </c>
      <c r="E54" s="515">
        <f>1.1*E53</f>
        <v>171.60000000000002</v>
      </c>
      <c r="F54" s="462"/>
      <c r="G54" s="463"/>
      <c r="H54" s="455">
        <f t="shared" si="29"/>
        <v>0</v>
      </c>
      <c r="I54" s="464">
        <v>9.3000000000000007</v>
      </c>
      <c r="J54" s="464"/>
      <c r="K54" s="102">
        <f t="shared" si="7"/>
        <v>9.3000000000000007</v>
      </c>
      <c r="L54" s="50">
        <f t="shared" si="8"/>
        <v>0</v>
      </c>
      <c r="M54" s="102">
        <f t="shared" si="9"/>
        <v>0</v>
      </c>
      <c r="N54" s="102">
        <f t="shared" si="10"/>
        <v>1595.88</v>
      </c>
      <c r="O54" s="102">
        <f t="shared" si="11"/>
        <v>0</v>
      </c>
      <c r="P54" s="103">
        <f t="shared" si="12"/>
        <v>1595.88</v>
      </c>
    </row>
    <row r="55" spans="1:16" s="56" customFormat="1" ht="15.05">
      <c r="A55" s="474">
        <v>16</v>
      </c>
      <c r="B55" s="521"/>
      <c r="C55" s="522" t="s">
        <v>1258</v>
      </c>
      <c r="D55" s="523" t="s">
        <v>1060</v>
      </c>
      <c r="E55" s="524">
        <v>202</v>
      </c>
      <c r="F55" s="462">
        <v>0.2</v>
      </c>
      <c r="G55" s="463">
        <v>9.5</v>
      </c>
      <c r="H55" s="455">
        <f t="shared" si="29"/>
        <v>1.9</v>
      </c>
      <c r="I55" s="464">
        <v>3.5</v>
      </c>
      <c r="J55" s="464">
        <v>0.2</v>
      </c>
      <c r="K55" s="102">
        <f t="shared" si="7"/>
        <v>5.6000000000000005</v>
      </c>
      <c r="L55" s="50">
        <f t="shared" si="8"/>
        <v>40.4</v>
      </c>
      <c r="M55" s="102">
        <f t="shared" si="9"/>
        <v>383.8</v>
      </c>
      <c r="N55" s="102">
        <f t="shared" si="10"/>
        <v>707</v>
      </c>
      <c r="O55" s="102">
        <f t="shared" si="11"/>
        <v>40.4</v>
      </c>
      <c r="P55" s="103">
        <f t="shared" si="12"/>
        <v>1131.2</v>
      </c>
    </row>
    <row r="56" spans="1:16" s="56" customFormat="1" ht="24.9">
      <c r="A56" s="474">
        <v>17</v>
      </c>
      <c r="B56" s="516"/>
      <c r="C56" s="517" t="s">
        <v>1589</v>
      </c>
      <c r="D56" s="518" t="s">
        <v>721</v>
      </c>
      <c r="E56" s="519">
        <v>14</v>
      </c>
      <c r="F56" s="462">
        <v>2</v>
      </c>
      <c r="G56" s="463">
        <v>9.5</v>
      </c>
      <c r="H56" s="455">
        <f>ROUND(F56*G56,2)</f>
        <v>19</v>
      </c>
      <c r="I56" s="464">
        <v>235</v>
      </c>
      <c r="J56" s="464">
        <v>4</v>
      </c>
      <c r="K56" s="102">
        <f t="shared" ref="K56" si="30">SUM(H56:J56)</f>
        <v>258</v>
      </c>
      <c r="L56" s="50">
        <f t="shared" ref="L56" si="31">ROUND(F56*E56,2)</f>
        <v>28</v>
      </c>
      <c r="M56" s="102">
        <f t="shared" ref="M56" si="32">ROUND(H56*E56,2)</f>
        <v>266</v>
      </c>
      <c r="N56" s="102">
        <f t="shared" ref="N56" si="33">ROUND(I56*E56,2)</f>
        <v>3290</v>
      </c>
      <c r="O56" s="102">
        <f t="shared" ref="O56" si="34">ROUND(J56*E56,2)</f>
        <v>56</v>
      </c>
      <c r="P56" s="103">
        <f t="shared" ref="P56" si="35">SUM(M56:O56)</f>
        <v>3612</v>
      </c>
    </row>
    <row r="57" spans="1:16">
      <c r="A57" s="57"/>
      <c r="B57" s="33"/>
      <c r="C57" s="17"/>
      <c r="D57" s="14"/>
      <c r="E57" s="29"/>
      <c r="F57" s="30"/>
      <c r="G57" s="30"/>
      <c r="H57" s="31"/>
      <c r="I57" s="31"/>
      <c r="J57" s="29"/>
      <c r="K57" s="29"/>
      <c r="L57" s="30"/>
      <c r="M57" s="29"/>
      <c r="N57" s="29"/>
      <c r="O57" s="29"/>
      <c r="P57" s="32"/>
    </row>
    <row r="58" spans="1:16" ht="15.05" customHeight="1">
      <c r="A58" s="41"/>
      <c r="B58" s="41"/>
      <c r="C58" s="932" t="s">
        <v>98</v>
      </c>
      <c r="D58" s="933"/>
      <c r="E58" s="933"/>
      <c r="F58" s="933"/>
      <c r="G58" s="933"/>
      <c r="H58" s="933"/>
      <c r="I58" s="933"/>
      <c r="J58" s="933"/>
      <c r="K58" s="933"/>
      <c r="L58" s="42">
        <f>SUM(L13:L57)</f>
        <v>10698.399999999998</v>
      </c>
      <c r="M58" s="42">
        <f>SUM(M13:M57)</f>
        <v>101644.91</v>
      </c>
      <c r="N58" s="42">
        <f>SUM(N13:N57)</f>
        <v>371396.65</v>
      </c>
      <c r="O58" s="42">
        <f>SUM(O13:O57)</f>
        <v>11048.219999999998</v>
      </c>
      <c r="P58" s="42">
        <f>SUM(P13:P57)</f>
        <v>484089.77999999997</v>
      </c>
    </row>
    <row r="59" spans="1:16" s="125" customFormat="1" collapsed="1">
      <c r="I59" s="146"/>
    </row>
    <row r="60" spans="1:16" s="122" customFormat="1" ht="12.8" customHeight="1">
      <c r="B60" s="147" t="s">
        <v>54</v>
      </c>
    </row>
    <row r="61" spans="1:16" s="122" customFormat="1" ht="45" customHeight="1">
      <c r="A61"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61" s="926"/>
      <c r="C61" s="926"/>
      <c r="D61" s="926"/>
      <c r="E61" s="926"/>
      <c r="F61" s="926"/>
      <c r="G61" s="926"/>
      <c r="H61" s="926"/>
      <c r="I61" s="926"/>
      <c r="J61" s="926"/>
      <c r="K61" s="926"/>
      <c r="L61" s="926"/>
      <c r="M61" s="926"/>
      <c r="N61" s="926"/>
      <c r="O61" s="926"/>
      <c r="P61" s="926"/>
    </row>
    <row r="62" spans="1:16" s="122" customFormat="1" ht="81" customHeight="1">
      <c r="A62" s="925"/>
      <c r="B62" s="925"/>
      <c r="C62" s="925"/>
      <c r="D62" s="925"/>
      <c r="E62" s="925"/>
      <c r="F62" s="925"/>
      <c r="G62" s="925"/>
      <c r="H62" s="925"/>
      <c r="I62" s="925"/>
      <c r="J62" s="925"/>
      <c r="K62" s="925"/>
      <c r="L62" s="925"/>
      <c r="M62" s="925"/>
      <c r="N62" s="925"/>
      <c r="O62" s="925"/>
      <c r="P62" s="925"/>
    </row>
    <row r="63" spans="1:16" s="122" customFormat="1" ht="12.8" customHeight="1">
      <c r="B63" s="148"/>
    </row>
    <row r="64" spans="1:16" s="122" customFormat="1" ht="12.8" customHeight="1">
      <c r="B64" s="148"/>
    </row>
    <row r="65" spans="2:16" s="125" customFormat="1">
      <c r="B65" s="125" t="s">
        <v>8</v>
      </c>
      <c r="L65" s="157" t="str">
        <f>Koptame!B39</f>
        <v>Pārbaudīja:</v>
      </c>
      <c r="M65" s="157"/>
      <c r="N65" s="157"/>
      <c r="O65" s="157"/>
      <c r="P65" s="157"/>
    </row>
    <row r="66" spans="2:16" s="125" customFormat="1" ht="14.25" customHeight="1">
      <c r="C66" s="178" t="str">
        <f>Koptame!C34</f>
        <v>Arnis Gailītis</v>
      </c>
      <c r="L66" s="178"/>
      <c r="M66" s="922" t="str">
        <f>Koptame!C40</f>
        <v>Dzintra Cīrule</v>
      </c>
      <c r="N66" s="922"/>
      <c r="O66" s="157"/>
      <c r="P66" s="157"/>
    </row>
    <row r="67" spans="2:16" s="125" customFormat="1">
      <c r="C67" s="179" t="str">
        <f>Koptame!C35</f>
        <v>Sertifikāta Nr.20-5643</v>
      </c>
      <c r="L67" s="179"/>
      <c r="M67" s="923" t="str">
        <f>Koptame!C41</f>
        <v>Sertifikāta Nr.10-0363</v>
      </c>
      <c r="N67" s="923"/>
      <c r="O67" s="157"/>
      <c r="P67" s="157"/>
    </row>
    <row r="68" spans="2:16" s="125" customFormat="1" collapsed="1">
      <c r="B68" s="146"/>
      <c r="F68" s="146"/>
      <c r="G68" s="146"/>
    </row>
  </sheetData>
  <mergeCells count="17">
    <mergeCell ref="M66:N66"/>
    <mergeCell ref="M67:N67"/>
    <mergeCell ref="L11:P11"/>
    <mergeCell ref="A62:P62"/>
    <mergeCell ref="A61:P61"/>
    <mergeCell ref="A11:A12"/>
    <mergeCell ref="B11:B12"/>
    <mergeCell ref="C11:C12"/>
    <mergeCell ref="D11:D12"/>
    <mergeCell ref="C58:K58"/>
    <mergeCell ref="E11:E12"/>
    <mergeCell ref="F11:K11"/>
    <mergeCell ref="A2:P2"/>
    <mergeCell ref="L9:O9"/>
    <mergeCell ref="D3:P3"/>
    <mergeCell ref="D4:P4"/>
    <mergeCell ref="D5:P5"/>
  </mergeCells>
  <conditionalFormatting sqref="I18">
    <cfRule type="expression" dxfId="135" priority="18">
      <formula>#REF!&gt;0</formula>
    </cfRule>
    <cfRule type="expression" dxfId="134" priority="19">
      <formula>#REF!=3</formula>
    </cfRule>
    <cfRule type="expression" dxfId="133" priority="20">
      <formula>#REF!=2</formula>
    </cfRule>
    <cfRule type="expression" dxfId="132" priority="21">
      <formula>#REF!=1</formula>
    </cfRule>
  </conditionalFormatting>
  <conditionalFormatting sqref="I18">
    <cfRule type="expression" dxfId="131" priority="22" stopIfTrue="1">
      <formula>I18=#REF!=FALSE</formula>
    </cfRule>
  </conditionalFormatting>
  <conditionalFormatting sqref="I19">
    <cfRule type="expression" dxfId="130" priority="12">
      <formula>#REF!&gt;0</formula>
    </cfRule>
    <cfRule type="expression" dxfId="129" priority="13">
      <formula>#REF!=3</formula>
    </cfRule>
    <cfRule type="expression" dxfId="128" priority="14">
      <formula>#REF!=2</formula>
    </cfRule>
    <cfRule type="expression" dxfId="127" priority="15">
      <formula>#REF!=1</formula>
    </cfRule>
  </conditionalFormatting>
  <conditionalFormatting sqref="I19">
    <cfRule type="expression" dxfId="126" priority="16" stopIfTrue="1">
      <formula>I19=#REF!=FALSE</formula>
    </cfRule>
  </conditionalFormatting>
  <conditionalFormatting sqref="I28">
    <cfRule type="expression" dxfId="125" priority="6">
      <formula>#REF!&gt;0</formula>
    </cfRule>
    <cfRule type="expression" dxfId="124" priority="7">
      <formula>#REF!=3</formula>
    </cfRule>
    <cfRule type="expression" dxfId="123" priority="8">
      <formula>#REF!=2</formula>
    </cfRule>
    <cfRule type="expression" dxfId="122" priority="9">
      <formula>#REF!=1</formula>
    </cfRule>
  </conditionalFormatting>
  <conditionalFormatting sqref="I28">
    <cfRule type="expression" dxfId="121" priority="10" stopIfTrue="1">
      <formula>I28=#REF!=FALSE</formula>
    </cfRule>
  </conditionalFormatting>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03"/>
  <sheetViews>
    <sheetView showZeros="0" view="pageBreakPreview" topLeftCell="A69" zoomScaleNormal="100" zoomScaleSheetLayoutView="100" workbookViewId="0">
      <selection activeCell="E16" sqref="D16:E91"/>
    </sheetView>
  </sheetViews>
  <sheetFormatPr defaultColWidth="9.125" defaultRowHeight="14.4"/>
  <cols>
    <col min="1" max="1" width="9" style="19" customWidth="1"/>
    <col min="2" max="2" width="9.375" style="19" customWidth="1"/>
    <col min="3" max="3" width="40.25" style="19" customWidth="1"/>
    <col min="4" max="4" width="8.125" style="19" customWidth="1"/>
    <col min="5" max="8" width="9.125" style="19"/>
    <col min="9" max="9" width="9.125" style="56"/>
    <col min="10" max="11" width="9.125" style="19"/>
    <col min="12" max="12" width="11.625" style="19" customWidth="1"/>
    <col min="13" max="13" width="12.2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kops1!B26</f>
        <v>1,6</v>
      </c>
      <c r="I1" s="53"/>
    </row>
    <row r="2" spans="1:16" s="24" customFormat="1">
      <c r="A2" s="919" t="str">
        <f>C13</f>
        <v>Kāpnes un lievenis</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54"/>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55"/>
      <c r="J7" s="22"/>
      <c r="K7" s="43"/>
      <c r="L7" s="43"/>
      <c r="M7" s="43"/>
      <c r="N7" s="43"/>
      <c r="O7" s="20" t="s">
        <v>87</v>
      </c>
      <c r="P7" s="26">
        <f>P93</f>
        <v>33265.629999999997</v>
      </c>
    </row>
    <row r="8" spans="1:16">
      <c r="A8" s="23"/>
      <c r="B8" s="23"/>
      <c r="D8" s="27"/>
      <c r="E8" s="43"/>
      <c r="F8" s="43"/>
      <c r="G8" s="43"/>
      <c r="H8" s="43"/>
      <c r="I8" s="54"/>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c r="B13" s="51">
        <v>0</v>
      </c>
      <c r="C13" s="13" t="str">
        <f>kops1!C26</f>
        <v>Kāpnes un lievenis</v>
      </c>
      <c r="D13" s="14"/>
      <c r="E13" s="15"/>
      <c r="F13" s="50">
        <v>0</v>
      </c>
      <c r="G13" s="50">
        <v>0</v>
      </c>
      <c r="H13" s="31">
        <v>0</v>
      </c>
      <c r="I13" s="29">
        <v>0</v>
      </c>
      <c r="J13" s="29">
        <v>0</v>
      </c>
      <c r="K13" s="29">
        <f t="shared" ref="K13" si="0">SUM(H13:J13)</f>
        <v>0</v>
      </c>
      <c r="L13" s="30">
        <f t="shared" ref="L13" si="1">ROUND(F13*E13,2)</f>
        <v>0</v>
      </c>
      <c r="M13" s="29">
        <f t="shared" ref="M13" si="2">ROUND(H13*E13,2)</f>
        <v>0</v>
      </c>
      <c r="N13" s="29">
        <f t="shared" ref="N13" si="3">ROUND(I13*E13,2)</f>
        <v>0</v>
      </c>
      <c r="O13" s="29">
        <f t="shared" ref="O13" si="4">ROUND(J13*E13,2)</f>
        <v>0</v>
      </c>
      <c r="P13" s="32">
        <f t="shared" ref="P13" si="5">SUM(M13:O13)</f>
        <v>0</v>
      </c>
    </row>
    <row r="14" spans="1:16" s="56" customFormat="1" ht="26.2">
      <c r="A14" s="101"/>
      <c r="B14" s="115"/>
      <c r="C14" s="681" t="s">
        <v>1260</v>
      </c>
      <c r="D14" s="99"/>
      <c r="E14" s="450"/>
      <c r="F14" s="526"/>
      <c r="G14" s="463"/>
      <c r="H14" s="527"/>
      <c r="I14" s="528"/>
      <c r="J14" s="528"/>
      <c r="K14" s="102">
        <f>SUM(H14:J14)</f>
        <v>0</v>
      </c>
      <c r="L14" s="50">
        <f>ROUND(F14*E14,2)</f>
        <v>0</v>
      </c>
      <c r="M14" s="102">
        <f>ROUND(H14*E14,2)</f>
        <v>0</v>
      </c>
      <c r="N14" s="102">
        <f>ROUND(I14*E14,2)</f>
        <v>0</v>
      </c>
      <c r="O14" s="102">
        <f>ROUND(J14*E14,2)</f>
        <v>0</v>
      </c>
      <c r="P14" s="103">
        <f>SUM(M14:O14)</f>
        <v>0</v>
      </c>
    </row>
    <row r="15" spans="1:16" s="56" customFormat="1" ht="15.05">
      <c r="A15" s="101"/>
      <c r="B15" s="115"/>
      <c r="C15" s="681" t="s">
        <v>1603</v>
      </c>
      <c r="D15" s="99"/>
      <c r="E15" s="450"/>
      <c r="F15" s="526"/>
      <c r="G15" s="463"/>
      <c r="H15" s="527"/>
      <c r="I15" s="528"/>
      <c r="J15" s="528"/>
      <c r="K15" s="102"/>
      <c r="L15" s="50"/>
      <c r="M15" s="102"/>
      <c r="N15" s="102"/>
      <c r="O15" s="102"/>
      <c r="P15" s="103"/>
    </row>
    <row r="16" spans="1:16" s="400" customFormat="1" ht="15.05">
      <c r="A16" s="481">
        <v>1</v>
      </c>
      <c r="B16" s="482"/>
      <c r="C16" s="631" t="s">
        <v>1471</v>
      </c>
      <c r="D16" s="473" t="s">
        <v>884</v>
      </c>
      <c r="E16" s="819">
        <f>0.098*4</f>
        <v>0.39200000000000002</v>
      </c>
      <c r="F16" s="462">
        <v>1</v>
      </c>
      <c r="G16" s="463">
        <v>9.5</v>
      </c>
      <c r="H16" s="455">
        <f t="shared" ref="H16:H28" si="6">ROUND(F16*G16,2)</f>
        <v>9.5</v>
      </c>
      <c r="I16" s="464">
        <v>22.8</v>
      </c>
      <c r="J16" s="464">
        <v>1.5</v>
      </c>
      <c r="K16" s="102">
        <f t="shared" ref="K16:K30" si="7">SUM(H16:J16)</f>
        <v>33.799999999999997</v>
      </c>
      <c r="L16" s="50">
        <f t="shared" ref="L16:L32" si="8">ROUND(F16*E16,2)</f>
        <v>0.39</v>
      </c>
      <c r="M16" s="102">
        <f t="shared" ref="M16:M32" si="9">ROUND(H16*E16,2)</f>
        <v>3.72</v>
      </c>
      <c r="N16" s="102">
        <f t="shared" ref="N16:N32" si="10">ROUND(I16*E16,2)</f>
        <v>8.94</v>
      </c>
      <c r="O16" s="102">
        <f t="shared" ref="O16:O32" si="11">ROUND(J16*E16,2)</f>
        <v>0.59</v>
      </c>
      <c r="P16" s="103">
        <f t="shared" ref="P16:P32" si="12">SUM(M16:O16)</f>
        <v>13.25</v>
      </c>
    </row>
    <row r="17" spans="1:16" s="400" customFormat="1" ht="30.15">
      <c r="A17" s="481">
        <v>2</v>
      </c>
      <c r="B17" s="482"/>
      <c r="C17" s="483" t="s">
        <v>1118</v>
      </c>
      <c r="D17" s="473" t="s">
        <v>29</v>
      </c>
      <c r="E17" s="820">
        <v>8</v>
      </c>
      <c r="F17" s="462">
        <v>0.65</v>
      </c>
      <c r="G17" s="463">
        <v>9.5</v>
      </c>
      <c r="H17" s="455">
        <f t="shared" si="6"/>
        <v>6.18</v>
      </c>
      <c r="I17" s="464">
        <v>0.68</v>
      </c>
      <c r="J17" s="464">
        <v>8.5</v>
      </c>
      <c r="K17" s="102">
        <f t="shared" si="7"/>
        <v>15.36</v>
      </c>
      <c r="L17" s="50">
        <f t="shared" si="8"/>
        <v>5.2</v>
      </c>
      <c r="M17" s="102">
        <f t="shared" si="9"/>
        <v>49.44</v>
      </c>
      <c r="N17" s="102">
        <f t="shared" si="10"/>
        <v>5.44</v>
      </c>
      <c r="O17" s="102">
        <f t="shared" si="11"/>
        <v>68</v>
      </c>
      <c r="P17" s="103">
        <f t="shared" si="12"/>
        <v>122.88</v>
      </c>
    </row>
    <row r="18" spans="1:16" s="400" customFormat="1" ht="30.15">
      <c r="A18" s="481">
        <v>3</v>
      </c>
      <c r="B18" s="482"/>
      <c r="C18" s="483" t="s">
        <v>1119</v>
      </c>
      <c r="D18" s="473" t="s">
        <v>1120</v>
      </c>
      <c r="E18" s="819">
        <f>0.006*4</f>
        <v>2.4E-2</v>
      </c>
      <c r="F18" s="462">
        <v>28.42</v>
      </c>
      <c r="G18" s="463">
        <v>9.5</v>
      </c>
      <c r="H18" s="455">
        <f t="shared" si="6"/>
        <v>269.99</v>
      </c>
      <c r="I18" s="464">
        <v>0</v>
      </c>
      <c r="J18" s="464">
        <v>40</v>
      </c>
      <c r="K18" s="102">
        <f t="shared" si="7"/>
        <v>309.99</v>
      </c>
      <c r="L18" s="50">
        <f t="shared" si="8"/>
        <v>0.68</v>
      </c>
      <c r="M18" s="102">
        <f t="shared" si="9"/>
        <v>6.48</v>
      </c>
      <c r="N18" s="102">
        <f t="shared" si="10"/>
        <v>0</v>
      </c>
      <c r="O18" s="102">
        <f t="shared" si="11"/>
        <v>0.96</v>
      </c>
      <c r="P18" s="103">
        <f t="shared" si="12"/>
        <v>7.44</v>
      </c>
    </row>
    <row r="19" spans="1:16" s="400" customFormat="1" ht="15.05">
      <c r="A19" s="481">
        <v>0</v>
      </c>
      <c r="B19" s="482"/>
      <c r="C19" s="483" t="s">
        <v>1121</v>
      </c>
      <c r="D19" s="473" t="s">
        <v>1120</v>
      </c>
      <c r="E19" s="820">
        <f>E18*1.15</f>
        <v>2.76E-2</v>
      </c>
      <c r="F19" s="462"/>
      <c r="G19" s="463"/>
      <c r="H19" s="455">
        <f t="shared" si="6"/>
        <v>0</v>
      </c>
      <c r="I19" s="464">
        <v>640</v>
      </c>
      <c r="J19" s="464"/>
      <c r="K19" s="102">
        <f t="shared" si="7"/>
        <v>640</v>
      </c>
      <c r="L19" s="50">
        <f t="shared" si="8"/>
        <v>0</v>
      </c>
      <c r="M19" s="102">
        <f t="shared" si="9"/>
        <v>0</v>
      </c>
      <c r="N19" s="102">
        <f t="shared" si="10"/>
        <v>17.66</v>
      </c>
      <c r="O19" s="102">
        <f t="shared" si="11"/>
        <v>0</v>
      </c>
      <c r="P19" s="103">
        <f t="shared" si="12"/>
        <v>17.66</v>
      </c>
    </row>
    <row r="20" spans="1:16" s="400" customFormat="1" ht="30.15">
      <c r="A20" s="481">
        <v>0</v>
      </c>
      <c r="B20" s="482"/>
      <c r="C20" s="483" t="s">
        <v>1122</v>
      </c>
      <c r="D20" s="473" t="s">
        <v>136</v>
      </c>
      <c r="E20" s="820">
        <v>1</v>
      </c>
      <c r="F20" s="462"/>
      <c r="G20" s="463"/>
      <c r="H20" s="455">
        <f t="shared" si="6"/>
        <v>0</v>
      </c>
      <c r="I20" s="464">
        <f>90*E18</f>
        <v>2.16</v>
      </c>
      <c r="J20" s="464"/>
      <c r="K20" s="102">
        <f t="shared" si="7"/>
        <v>2.16</v>
      </c>
      <c r="L20" s="50">
        <f t="shared" si="8"/>
        <v>0</v>
      </c>
      <c r="M20" s="102">
        <f t="shared" si="9"/>
        <v>0</v>
      </c>
      <c r="N20" s="102">
        <f t="shared" si="10"/>
        <v>2.16</v>
      </c>
      <c r="O20" s="102">
        <f t="shared" si="11"/>
        <v>0</v>
      </c>
      <c r="P20" s="103">
        <f t="shared" si="12"/>
        <v>2.16</v>
      </c>
    </row>
    <row r="21" spans="1:16" s="400" customFormat="1" ht="15.05">
      <c r="A21" s="481">
        <v>4</v>
      </c>
      <c r="B21" s="482"/>
      <c r="C21" s="483" t="s">
        <v>1604</v>
      </c>
      <c r="D21" s="473" t="s">
        <v>884</v>
      </c>
      <c r="E21" s="819">
        <f>0.007*4</f>
        <v>2.8000000000000001E-2</v>
      </c>
      <c r="F21" s="462">
        <v>3.98</v>
      </c>
      <c r="G21" s="463">
        <v>9.5</v>
      </c>
      <c r="H21" s="455">
        <f t="shared" si="6"/>
        <v>37.81</v>
      </c>
      <c r="I21" s="464">
        <v>0</v>
      </c>
      <c r="J21" s="464">
        <v>2.8</v>
      </c>
      <c r="K21" s="102">
        <f t="shared" si="7"/>
        <v>40.61</v>
      </c>
      <c r="L21" s="50">
        <f t="shared" si="8"/>
        <v>0.11</v>
      </c>
      <c r="M21" s="102">
        <f t="shared" si="9"/>
        <v>1.06</v>
      </c>
      <c r="N21" s="102">
        <f t="shared" si="10"/>
        <v>0</v>
      </c>
      <c r="O21" s="102">
        <f t="shared" si="11"/>
        <v>0.08</v>
      </c>
      <c r="P21" s="103">
        <f t="shared" si="12"/>
        <v>1.1400000000000001</v>
      </c>
    </row>
    <row r="22" spans="1:16" s="400" customFormat="1" ht="15.05">
      <c r="A22" s="481">
        <v>0</v>
      </c>
      <c r="B22" s="482"/>
      <c r="C22" s="483" t="s">
        <v>1125</v>
      </c>
      <c r="D22" s="473" t="s">
        <v>884</v>
      </c>
      <c r="E22" s="820">
        <f>E21*1.05</f>
        <v>2.9400000000000003E-2</v>
      </c>
      <c r="F22" s="462"/>
      <c r="G22" s="463"/>
      <c r="H22" s="455">
        <f t="shared" si="6"/>
        <v>0</v>
      </c>
      <c r="I22" s="464">
        <v>73</v>
      </c>
      <c r="J22" s="464"/>
      <c r="K22" s="102">
        <f t="shared" si="7"/>
        <v>73</v>
      </c>
      <c r="L22" s="50">
        <f t="shared" si="8"/>
        <v>0</v>
      </c>
      <c r="M22" s="102">
        <f t="shared" si="9"/>
        <v>0</v>
      </c>
      <c r="N22" s="102">
        <f t="shared" si="10"/>
        <v>2.15</v>
      </c>
      <c r="O22" s="102">
        <f t="shared" si="11"/>
        <v>0</v>
      </c>
      <c r="P22" s="103">
        <f t="shared" si="12"/>
        <v>2.15</v>
      </c>
    </row>
    <row r="23" spans="1:16" s="400" customFormat="1" ht="15.05">
      <c r="A23" s="481">
        <v>0</v>
      </c>
      <c r="B23" s="482"/>
      <c r="C23" s="483" t="s">
        <v>1116</v>
      </c>
      <c r="D23" s="473" t="s">
        <v>1117</v>
      </c>
      <c r="E23" s="820">
        <f>E21*0.25</f>
        <v>7.0000000000000001E-3</v>
      </c>
      <c r="F23" s="462"/>
      <c r="G23" s="463"/>
      <c r="H23" s="455">
        <f t="shared" si="6"/>
        <v>0</v>
      </c>
      <c r="I23" s="464">
        <v>0</v>
      </c>
      <c r="J23" s="464">
        <v>80</v>
      </c>
      <c r="K23" s="102">
        <f t="shared" si="7"/>
        <v>80</v>
      </c>
      <c r="L23" s="50">
        <f t="shared" si="8"/>
        <v>0</v>
      </c>
      <c r="M23" s="102">
        <f t="shared" si="9"/>
        <v>0</v>
      </c>
      <c r="N23" s="102">
        <f t="shared" si="10"/>
        <v>0</v>
      </c>
      <c r="O23" s="102">
        <f t="shared" si="11"/>
        <v>0.56000000000000005</v>
      </c>
      <c r="P23" s="103">
        <f t="shared" si="12"/>
        <v>0.56000000000000005</v>
      </c>
    </row>
    <row r="24" spans="1:16" s="400" customFormat="1" ht="15.05">
      <c r="A24" s="481">
        <v>5</v>
      </c>
      <c r="B24" s="482"/>
      <c r="C24" s="631" t="s">
        <v>1605</v>
      </c>
      <c r="D24" s="473" t="s">
        <v>884</v>
      </c>
      <c r="E24" s="820">
        <f>0.144*4</f>
        <v>0.57599999999999996</v>
      </c>
      <c r="F24" s="462">
        <v>3.98</v>
      </c>
      <c r="G24" s="463">
        <v>9.5</v>
      </c>
      <c r="H24" s="455">
        <f t="shared" si="6"/>
        <v>37.81</v>
      </c>
      <c r="I24" s="464">
        <v>0</v>
      </c>
      <c r="J24" s="464">
        <v>2.8</v>
      </c>
      <c r="K24" s="102">
        <f t="shared" si="7"/>
        <v>40.61</v>
      </c>
      <c r="L24" s="50">
        <f t="shared" si="8"/>
        <v>2.29</v>
      </c>
      <c r="M24" s="102">
        <f t="shared" si="9"/>
        <v>21.78</v>
      </c>
      <c r="N24" s="102">
        <f t="shared" si="10"/>
        <v>0</v>
      </c>
      <c r="O24" s="102">
        <f t="shared" si="11"/>
        <v>1.61</v>
      </c>
      <c r="P24" s="103">
        <f t="shared" si="12"/>
        <v>23.39</v>
      </c>
    </row>
    <row r="25" spans="1:16" s="400" customFormat="1" ht="15.05">
      <c r="A25" s="481">
        <v>0</v>
      </c>
      <c r="B25" s="482"/>
      <c r="C25" s="483" t="s">
        <v>1125</v>
      </c>
      <c r="D25" s="473" t="s">
        <v>884</v>
      </c>
      <c r="E25" s="820">
        <f>E24*1.05</f>
        <v>0.6048</v>
      </c>
      <c r="F25" s="462"/>
      <c r="G25" s="463"/>
      <c r="H25" s="455">
        <f t="shared" si="6"/>
        <v>0</v>
      </c>
      <c r="I25" s="464">
        <v>73</v>
      </c>
      <c r="J25" s="464"/>
      <c r="K25" s="102">
        <f t="shared" si="7"/>
        <v>73</v>
      </c>
      <c r="L25" s="50">
        <f t="shared" si="8"/>
        <v>0</v>
      </c>
      <c r="M25" s="102">
        <f t="shared" si="9"/>
        <v>0</v>
      </c>
      <c r="N25" s="102">
        <f t="shared" si="10"/>
        <v>44.15</v>
      </c>
      <c r="O25" s="102">
        <f t="shared" si="11"/>
        <v>0</v>
      </c>
      <c r="P25" s="103">
        <f t="shared" si="12"/>
        <v>44.15</v>
      </c>
    </row>
    <row r="26" spans="1:16" s="400" customFormat="1" ht="15.05">
      <c r="A26" s="481">
        <v>0</v>
      </c>
      <c r="B26" s="482"/>
      <c r="C26" s="483" t="s">
        <v>1116</v>
      </c>
      <c r="D26" s="473" t="s">
        <v>1117</v>
      </c>
      <c r="E26" s="820">
        <f>E24*0.25</f>
        <v>0.14399999999999999</v>
      </c>
      <c r="F26" s="462"/>
      <c r="G26" s="463"/>
      <c r="H26" s="455">
        <f t="shared" si="6"/>
        <v>0</v>
      </c>
      <c r="I26" s="464">
        <v>0</v>
      </c>
      <c r="J26" s="464">
        <v>80</v>
      </c>
      <c r="K26" s="102">
        <f t="shared" si="7"/>
        <v>80</v>
      </c>
      <c r="L26" s="50">
        <f t="shared" si="8"/>
        <v>0</v>
      </c>
      <c r="M26" s="102">
        <f t="shared" si="9"/>
        <v>0</v>
      </c>
      <c r="N26" s="102">
        <f t="shared" si="10"/>
        <v>0</v>
      </c>
      <c r="O26" s="102">
        <f t="shared" si="11"/>
        <v>11.52</v>
      </c>
      <c r="P26" s="103">
        <f t="shared" si="12"/>
        <v>11.52</v>
      </c>
    </row>
    <row r="27" spans="1:16" s="400" customFormat="1" ht="15.05">
      <c r="A27" s="481">
        <v>6</v>
      </c>
      <c r="B27" s="482"/>
      <c r="C27" s="483" t="s">
        <v>1126</v>
      </c>
      <c r="D27" s="473" t="s">
        <v>29</v>
      </c>
      <c r="E27" s="820">
        <f>0.11*4</f>
        <v>0.44</v>
      </c>
      <c r="F27" s="462">
        <v>0.26</v>
      </c>
      <c r="G27" s="463">
        <v>9.5</v>
      </c>
      <c r="H27" s="455">
        <f t="shared" si="6"/>
        <v>2.4700000000000002</v>
      </c>
      <c r="I27" s="464">
        <v>2.4</v>
      </c>
      <c r="J27" s="464">
        <v>0.1</v>
      </c>
      <c r="K27" s="102">
        <f t="shared" si="7"/>
        <v>4.97</v>
      </c>
      <c r="L27" s="50">
        <f t="shared" si="8"/>
        <v>0.11</v>
      </c>
      <c r="M27" s="102">
        <f t="shared" si="9"/>
        <v>1.0900000000000001</v>
      </c>
      <c r="N27" s="102">
        <f t="shared" si="10"/>
        <v>1.06</v>
      </c>
      <c r="O27" s="102">
        <f t="shared" si="11"/>
        <v>0.04</v>
      </c>
      <c r="P27" s="103">
        <f t="shared" si="12"/>
        <v>2.1900000000000004</v>
      </c>
    </row>
    <row r="28" spans="1:16" s="400" customFormat="1" ht="15.05">
      <c r="A28" s="481">
        <v>7</v>
      </c>
      <c r="B28" s="482"/>
      <c r="C28" s="631" t="s">
        <v>1473</v>
      </c>
      <c r="D28" s="473" t="s">
        <v>1110</v>
      </c>
      <c r="E28" s="820">
        <f>2*4</f>
        <v>8</v>
      </c>
      <c r="F28" s="462">
        <v>0.57999999999999996</v>
      </c>
      <c r="G28" s="463">
        <v>9.5</v>
      </c>
      <c r="H28" s="455">
        <f t="shared" si="6"/>
        <v>5.51</v>
      </c>
      <c r="I28" s="464">
        <v>16</v>
      </c>
      <c r="J28" s="464">
        <v>1</v>
      </c>
      <c r="K28" s="102">
        <f t="shared" si="7"/>
        <v>22.509999999999998</v>
      </c>
      <c r="L28" s="50">
        <f t="shared" si="8"/>
        <v>4.6399999999999997</v>
      </c>
      <c r="M28" s="102">
        <f t="shared" si="9"/>
        <v>44.08</v>
      </c>
      <c r="N28" s="102">
        <f t="shared" si="10"/>
        <v>128</v>
      </c>
      <c r="O28" s="102">
        <f t="shared" si="11"/>
        <v>8</v>
      </c>
      <c r="P28" s="103">
        <f t="shared" si="12"/>
        <v>180.07999999999998</v>
      </c>
    </row>
    <row r="29" spans="1:16" s="56" customFormat="1" ht="15.05">
      <c r="A29" s="481">
        <v>8</v>
      </c>
      <c r="B29" s="530"/>
      <c r="C29" s="531" t="s">
        <v>1606</v>
      </c>
      <c r="D29" s="530" t="s">
        <v>118</v>
      </c>
      <c r="E29" s="821">
        <v>20</v>
      </c>
      <c r="F29" s="240">
        <v>1.2</v>
      </c>
      <c r="G29" s="682">
        <v>9.5</v>
      </c>
      <c r="H29" s="240">
        <f t="shared" ref="H29" si="13">ROUND(G29*F29,2)</f>
        <v>11.4</v>
      </c>
      <c r="I29" s="240">
        <v>110</v>
      </c>
      <c r="J29" s="240">
        <v>1.07</v>
      </c>
      <c r="K29" s="102">
        <f t="shared" si="7"/>
        <v>122.47</v>
      </c>
      <c r="L29" s="50">
        <f t="shared" si="8"/>
        <v>24</v>
      </c>
      <c r="M29" s="102">
        <f t="shared" si="9"/>
        <v>228</v>
      </c>
      <c r="N29" s="102">
        <f t="shared" si="10"/>
        <v>2200</v>
      </c>
      <c r="O29" s="102">
        <f t="shared" si="11"/>
        <v>21.4</v>
      </c>
      <c r="P29" s="103">
        <f t="shared" si="12"/>
        <v>2449.4</v>
      </c>
    </row>
    <row r="30" spans="1:16" s="56" customFormat="1" ht="30.15">
      <c r="A30" s="481">
        <v>9</v>
      </c>
      <c r="B30" s="482"/>
      <c r="C30" s="483" t="s">
        <v>1137</v>
      </c>
      <c r="D30" s="473" t="s">
        <v>1120</v>
      </c>
      <c r="E30" s="820">
        <v>1.1000000000000001</v>
      </c>
      <c r="F30" s="462">
        <f t="shared" ref="F30" si="14">ROUND(H30/G30,2)</f>
        <v>18.95</v>
      </c>
      <c r="G30" s="463">
        <v>9.5</v>
      </c>
      <c r="H30" s="455">
        <v>180</v>
      </c>
      <c r="I30" s="464"/>
      <c r="J30" s="464">
        <v>40</v>
      </c>
      <c r="K30" s="102">
        <f t="shared" si="7"/>
        <v>220</v>
      </c>
      <c r="L30" s="50">
        <f t="shared" si="8"/>
        <v>20.85</v>
      </c>
      <c r="M30" s="102">
        <f t="shared" si="9"/>
        <v>198</v>
      </c>
      <c r="N30" s="102">
        <f t="shared" si="10"/>
        <v>0</v>
      </c>
      <c r="O30" s="102">
        <f t="shared" si="11"/>
        <v>44</v>
      </c>
      <c r="P30" s="103">
        <f t="shared" si="12"/>
        <v>242</v>
      </c>
    </row>
    <row r="31" spans="1:16" s="56" customFormat="1" ht="30.15">
      <c r="A31" s="481">
        <v>0</v>
      </c>
      <c r="B31" s="482"/>
      <c r="C31" s="483" t="s">
        <v>1138</v>
      </c>
      <c r="D31" s="473" t="s">
        <v>1120</v>
      </c>
      <c r="E31" s="820">
        <f>E30*1.1</f>
        <v>1.2100000000000002</v>
      </c>
      <c r="F31" s="462"/>
      <c r="G31" s="463"/>
      <c r="H31" s="455">
        <v>0</v>
      </c>
      <c r="I31" s="464">
        <v>1550</v>
      </c>
      <c r="J31" s="464"/>
      <c r="K31" s="102">
        <f t="shared" ref="K31:K32" si="15">SUM(H31:J31)</f>
        <v>1550</v>
      </c>
      <c r="L31" s="50">
        <f t="shared" si="8"/>
        <v>0</v>
      </c>
      <c r="M31" s="102">
        <f t="shared" si="9"/>
        <v>0</v>
      </c>
      <c r="N31" s="102">
        <f t="shared" si="10"/>
        <v>1875.5</v>
      </c>
      <c r="O31" s="102">
        <f t="shared" si="11"/>
        <v>0</v>
      </c>
      <c r="P31" s="103">
        <f t="shared" si="12"/>
        <v>1875.5</v>
      </c>
    </row>
    <row r="32" spans="1:16" s="56" customFormat="1" ht="15.05">
      <c r="A32" s="481">
        <v>0</v>
      </c>
      <c r="B32" s="482"/>
      <c r="C32" s="483" t="s">
        <v>1233</v>
      </c>
      <c r="D32" s="473" t="s">
        <v>136</v>
      </c>
      <c r="E32" s="820">
        <v>1</v>
      </c>
      <c r="F32" s="462"/>
      <c r="G32" s="463"/>
      <c r="H32" s="455">
        <v>0</v>
      </c>
      <c r="I32" s="464">
        <f>80*E30</f>
        <v>88</v>
      </c>
      <c r="J32" s="464"/>
      <c r="K32" s="102">
        <f t="shared" si="15"/>
        <v>88</v>
      </c>
      <c r="L32" s="50">
        <f t="shared" si="8"/>
        <v>0</v>
      </c>
      <c r="M32" s="102">
        <f t="shared" si="9"/>
        <v>0</v>
      </c>
      <c r="N32" s="102">
        <f t="shared" si="10"/>
        <v>88</v>
      </c>
      <c r="O32" s="102">
        <f t="shared" si="11"/>
        <v>0</v>
      </c>
      <c r="P32" s="103">
        <f t="shared" si="12"/>
        <v>88</v>
      </c>
    </row>
    <row r="33" spans="1:16" s="56" customFormat="1" ht="26.2">
      <c r="A33" s="101"/>
      <c r="B33" s="115"/>
      <c r="C33" s="681" t="s">
        <v>1261</v>
      </c>
      <c r="D33" s="453"/>
      <c r="E33" s="450"/>
      <c r="F33" s="526"/>
      <c r="G33" s="463"/>
      <c r="H33" s="527"/>
      <c r="I33" s="528"/>
      <c r="J33" s="528"/>
      <c r="K33" s="102"/>
      <c r="L33" s="50"/>
      <c r="M33" s="102"/>
      <c r="N33" s="102"/>
      <c r="O33" s="102"/>
      <c r="P33" s="103"/>
    </row>
    <row r="34" spans="1:16" s="56" customFormat="1" ht="15.05">
      <c r="A34" s="101"/>
      <c r="B34" s="115"/>
      <c r="C34" s="681" t="s">
        <v>1607</v>
      </c>
      <c r="D34" s="453"/>
      <c r="E34" s="450"/>
      <c r="F34" s="526"/>
      <c r="G34" s="463"/>
      <c r="H34" s="527"/>
      <c r="I34" s="528"/>
      <c r="J34" s="528"/>
      <c r="K34" s="102"/>
      <c r="L34" s="50"/>
      <c r="M34" s="102"/>
      <c r="N34" s="102"/>
      <c r="O34" s="102"/>
      <c r="P34" s="103"/>
    </row>
    <row r="35" spans="1:16" s="400" customFormat="1" ht="15.05">
      <c r="A35" s="481">
        <v>10</v>
      </c>
      <c r="B35" s="482"/>
      <c r="C35" s="631" t="s">
        <v>1471</v>
      </c>
      <c r="D35" s="473" t="s">
        <v>884</v>
      </c>
      <c r="E35" s="819">
        <v>9.8000000000000004E-2</v>
      </c>
      <c r="F35" s="462">
        <v>1</v>
      </c>
      <c r="G35" s="463">
        <v>9.5</v>
      </c>
      <c r="H35" s="455">
        <f t="shared" ref="H35:H47" si="16">ROUND(F35*G35,2)</f>
        <v>9.5</v>
      </c>
      <c r="I35" s="464">
        <v>22.8</v>
      </c>
      <c r="J35" s="464">
        <v>1.5</v>
      </c>
      <c r="K35" s="102">
        <f t="shared" ref="K35:K48" si="17">SUM(H35:J35)</f>
        <v>33.799999999999997</v>
      </c>
      <c r="L35" s="50">
        <f t="shared" ref="L35:L51" si="18">ROUND(F35*E35,2)</f>
        <v>0.1</v>
      </c>
      <c r="M35" s="102">
        <f t="shared" ref="M35:M51" si="19">ROUND(H35*E35,2)</f>
        <v>0.93</v>
      </c>
      <c r="N35" s="102">
        <f t="shared" ref="N35:N51" si="20">ROUND(I35*E35,2)</f>
        <v>2.23</v>
      </c>
      <c r="O35" s="102">
        <f t="shared" ref="O35:O51" si="21">ROUND(J35*E35,2)</f>
        <v>0.15</v>
      </c>
      <c r="P35" s="103">
        <f t="shared" ref="P35:P51" si="22">SUM(M35:O35)</f>
        <v>3.31</v>
      </c>
    </row>
    <row r="36" spans="1:16" s="400" customFormat="1" ht="30.15">
      <c r="A36" s="481">
        <v>11</v>
      </c>
      <c r="B36" s="482"/>
      <c r="C36" s="483" t="s">
        <v>1118</v>
      </c>
      <c r="D36" s="473" t="s">
        <v>29</v>
      </c>
      <c r="E36" s="820">
        <v>4</v>
      </c>
      <c r="F36" s="462">
        <v>0.65</v>
      </c>
      <c r="G36" s="463">
        <v>9.5</v>
      </c>
      <c r="H36" s="455">
        <f t="shared" si="16"/>
        <v>6.18</v>
      </c>
      <c r="I36" s="464">
        <v>0.68</v>
      </c>
      <c r="J36" s="464">
        <v>8.5</v>
      </c>
      <c r="K36" s="102">
        <f t="shared" si="17"/>
        <v>15.36</v>
      </c>
      <c r="L36" s="50">
        <f t="shared" si="18"/>
        <v>2.6</v>
      </c>
      <c r="M36" s="102">
        <f t="shared" si="19"/>
        <v>24.72</v>
      </c>
      <c r="N36" s="102">
        <f t="shared" si="20"/>
        <v>2.72</v>
      </c>
      <c r="O36" s="102">
        <f t="shared" si="21"/>
        <v>34</v>
      </c>
      <c r="P36" s="103">
        <f t="shared" si="22"/>
        <v>61.44</v>
      </c>
    </row>
    <row r="37" spans="1:16" s="400" customFormat="1" ht="30.15">
      <c r="A37" s="481">
        <v>12</v>
      </c>
      <c r="B37" s="482"/>
      <c r="C37" s="483" t="s">
        <v>1119</v>
      </c>
      <c r="D37" s="473" t="s">
        <v>1120</v>
      </c>
      <c r="E37" s="819">
        <v>6.0000000000000001E-3</v>
      </c>
      <c r="F37" s="462">
        <v>28.42</v>
      </c>
      <c r="G37" s="463">
        <v>9.5</v>
      </c>
      <c r="H37" s="455">
        <f t="shared" si="16"/>
        <v>269.99</v>
      </c>
      <c r="I37" s="464">
        <v>0</v>
      </c>
      <c r="J37" s="464">
        <v>40</v>
      </c>
      <c r="K37" s="102">
        <f t="shared" si="17"/>
        <v>309.99</v>
      </c>
      <c r="L37" s="50">
        <f t="shared" si="18"/>
        <v>0.17</v>
      </c>
      <c r="M37" s="102">
        <f t="shared" si="19"/>
        <v>1.62</v>
      </c>
      <c r="N37" s="102">
        <f t="shared" si="20"/>
        <v>0</v>
      </c>
      <c r="O37" s="102">
        <f t="shared" si="21"/>
        <v>0.24</v>
      </c>
      <c r="P37" s="103">
        <f t="shared" si="22"/>
        <v>1.86</v>
      </c>
    </row>
    <row r="38" spans="1:16" s="400" customFormat="1" ht="15.05">
      <c r="A38" s="481">
        <v>0</v>
      </c>
      <c r="B38" s="482"/>
      <c r="C38" s="483" t="s">
        <v>1121</v>
      </c>
      <c r="D38" s="473" t="s">
        <v>1120</v>
      </c>
      <c r="E38" s="820">
        <f>E37*1.15</f>
        <v>6.8999999999999999E-3</v>
      </c>
      <c r="F38" s="462"/>
      <c r="G38" s="463"/>
      <c r="H38" s="455">
        <f t="shared" si="16"/>
        <v>0</v>
      </c>
      <c r="I38" s="464">
        <v>640</v>
      </c>
      <c r="J38" s="464"/>
      <c r="K38" s="102">
        <f t="shared" si="17"/>
        <v>640</v>
      </c>
      <c r="L38" s="50">
        <f t="shared" si="18"/>
        <v>0</v>
      </c>
      <c r="M38" s="102">
        <f t="shared" si="19"/>
        <v>0</v>
      </c>
      <c r="N38" s="102">
        <f t="shared" si="20"/>
        <v>4.42</v>
      </c>
      <c r="O38" s="102">
        <f t="shared" si="21"/>
        <v>0</v>
      </c>
      <c r="P38" s="103">
        <f t="shared" si="22"/>
        <v>4.42</v>
      </c>
    </row>
    <row r="39" spans="1:16" s="400" customFormat="1" ht="30.15">
      <c r="A39" s="481">
        <v>0</v>
      </c>
      <c r="B39" s="482"/>
      <c r="C39" s="483" t="s">
        <v>1122</v>
      </c>
      <c r="D39" s="473" t="s">
        <v>136</v>
      </c>
      <c r="E39" s="820">
        <v>1</v>
      </c>
      <c r="F39" s="462"/>
      <c r="G39" s="463"/>
      <c r="H39" s="455">
        <f t="shared" si="16"/>
        <v>0</v>
      </c>
      <c r="I39" s="464">
        <f>90*E37</f>
        <v>0.54</v>
      </c>
      <c r="J39" s="464"/>
      <c r="K39" s="102">
        <f t="shared" si="17"/>
        <v>0.54</v>
      </c>
      <c r="L39" s="50">
        <f t="shared" si="18"/>
        <v>0</v>
      </c>
      <c r="M39" s="102">
        <f t="shared" si="19"/>
        <v>0</v>
      </c>
      <c r="N39" s="102">
        <f t="shared" si="20"/>
        <v>0.54</v>
      </c>
      <c r="O39" s="102">
        <f t="shared" si="21"/>
        <v>0</v>
      </c>
      <c r="P39" s="103">
        <f t="shared" si="22"/>
        <v>0.54</v>
      </c>
    </row>
    <row r="40" spans="1:16" s="400" customFormat="1" ht="15.05">
      <c r="A40" s="481">
        <v>13</v>
      </c>
      <c r="B40" s="482"/>
      <c r="C40" s="483" t="s">
        <v>1604</v>
      </c>
      <c r="D40" s="473" t="s">
        <v>884</v>
      </c>
      <c r="E40" s="819">
        <v>7.0000000000000001E-3</v>
      </c>
      <c r="F40" s="462">
        <v>3.98</v>
      </c>
      <c r="G40" s="463">
        <v>9.5</v>
      </c>
      <c r="H40" s="455">
        <f t="shared" si="16"/>
        <v>37.81</v>
      </c>
      <c r="I40" s="464">
        <v>0</v>
      </c>
      <c r="J40" s="464">
        <v>2.8</v>
      </c>
      <c r="K40" s="102">
        <f t="shared" si="17"/>
        <v>40.61</v>
      </c>
      <c r="L40" s="50">
        <f t="shared" si="18"/>
        <v>0.03</v>
      </c>
      <c r="M40" s="102">
        <f t="shared" si="19"/>
        <v>0.26</v>
      </c>
      <c r="N40" s="102">
        <f t="shared" si="20"/>
        <v>0</v>
      </c>
      <c r="O40" s="102">
        <f t="shared" si="21"/>
        <v>0.02</v>
      </c>
      <c r="P40" s="103">
        <f t="shared" si="22"/>
        <v>0.28000000000000003</v>
      </c>
    </row>
    <row r="41" spans="1:16" s="400" customFormat="1" ht="15.05">
      <c r="A41" s="481">
        <v>0</v>
      </c>
      <c r="B41" s="482"/>
      <c r="C41" s="483" t="s">
        <v>1125</v>
      </c>
      <c r="D41" s="473" t="s">
        <v>884</v>
      </c>
      <c r="E41" s="820">
        <f>E40*1.05</f>
        <v>7.3500000000000006E-3</v>
      </c>
      <c r="F41" s="462"/>
      <c r="G41" s="463"/>
      <c r="H41" s="455">
        <f t="shared" si="16"/>
        <v>0</v>
      </c>
      <c r="I41" s="464">
        <v>73</v>
      </c>
      <c r="J41" s="464"/>
      <c r="K41" s="102">
        <f t="shared" si="17"/>
        <v>73</v>
      </c>
      <c r="L41" s="50">
        <f t="shared" si="18"/>
        <v>0</v>
      </c>
      <c r="M41" s="102">
        <f t="shared" si="19"/>
        <v>0</v>
      </c>
      <c r="N41" s="102">
        <f t="shared" si="20"/>
        <v>0.54</v>
      </c>
      <c r="O41" s="102">
        <f t="shared" si="21"/>
        <v>0</v>
      </c>
      <c r="P41" s="103">
        <f t="shared" si="22"/>
        <v>0.54</v>
      </c>
    </row>
    <row r="42" spans="1:16" s="400" customFormat="1" ht="15.05">
      <c r="A42" s="481">
        <v>0</v>
      </c>
      <c r="B42" s="482"/>
      <c r="C42" s="483" t="s">
        <v>1116</v>
      </c>
      <c r="D42" s="473" t="s">
        <v>1117</v>
      </c>
      <c r="E42" s="820">
        <f>E40*0.25</f>
        <v>1.75E-3</v>
      </c>
      <c r="F42" s="462"/>
      <c r="G42" s="463"/>
      <c r="H42" s="455">
        <f t="shared" si="16"/>
        <v>0</v>
      </c>
      <c r="I42" s="464">
        <v>0</v>
      </c>
      <c r="J42" s="464">
        <v>80</v>
      </c>
      <c r="K42" s="102">
        <f t="shared" si="17"/>
        <v>80</v>
      </c>
      <c r="L42" s="50">
        <f t="shared" si="18"/>
        <v>0</v>
      </c>
      <c r="M42" s="102">
        <f t="shared" si="19"/>
        <v>0</v>
      </c>
      <c r="N42" s="102">
        <f t="shared" si="20"/>
        <v>0</v>
      </c>
      <c r="O42" s="102">
        <f t="shared" si="21"/>
        <v>0.14000000000000001</v>
      </c>
      <c r="P42" s="103">
        <f t="shared" si="22"/>
        <v>0.14000000000000001</v>
      </c>
    </row>
    <row r="43" spans="1:16" s="400" customFormat="1" ht="15.05">
      <c r="A43" s="481">
        <v>14</v>
      </c>
      <c r="B43" s="482"/>
      <c r="C43" s="631" t="s">
        <v>1605</v>
      </c>
      <c r="D43" s="473" t="s">
        <v>884</v>
      </c>
      <c r="E43" s="820">
        <v>0.14399999999999999</v>
      </c>
      <c r="F43" s="462">
        <v>3.98</v>
      </c>
      <c r="G43" s="463">
        <v>9.5</v>
      </c>
      <c r="H43" s="455">
        <f t="shared" si="16"/>
        <v>37.81</v>
      </c>
      <c r="I43" s="464">
        <v>0</v>
      </c>
      <c r="J43" s="464">
        <v>2.8</v>
      </c>
      <c r="K43" s="102">
        <f t="shared" si="17"/>
        <v>40.61</v>
      </c>
      <c r="L43" s="50">
        <f t="shared" si="18"/>
        <v>0.56999999999999995</v>
      </c>
      <c r="M43" s="102">
        <f t="shared" si="19"/>
        <v>5.44</v>
      </c>
      <c r="N43" s="102">
        <f t="shared" si="20"/>
        <v>0</v>
      </c>
      <c r="O43" s="102">
        <f t="shared" si="21"/>
        <v>0.4</v>
      </c>
      <c r="P43" s="103">
        <f t="shared" si="22"/>
        <v>5.8400000000000007</v>
      </c>
    </row>
    <row r="44" spans="1:16" s="400" customFormat="1" ht="15.05">
      <c r="A44" s="481">
        <v>0</v>
      </c>
      <c r="B44" s="482"/>
      <c r="C44" s="483" t="s">
        <v>1125</v>
      </c>
      <c r="D44" s="473" t="s">
        <v>884</v>
      </c>
      <c r="E44" s="820">
        <f>E43*1.05</f>
        <v>0.1512</v>
      </c>
      <c r="F44" s="462"/>
      <c r="G44" s="463"/>
      <c r="H44" s="455">
        <f t="shared" si="16"/>
        <v>0</v>
      </c>
      <c r="I44" s="464">
        <v>73</v>
      </c>
      <c r="J44" s="464"/>
      <c r="K44" s="102">
        <f t="shared" si="17"/>
        <v>73</v>
      </c>
      <c r="L44" s="50">
        <f t="shared" si="18"/>
        <v>0</v>
      </c>
      <c r="M44" s="102">
        <f t="shared" si="19"/>
        <v>0</v>
      </c>
      <c r="N44" s="102">
        <f t="shared" si="20"/>
        <v>11.04</v>
      </c>
      <c r="O44" s="102">
        <f t="shared" si="21"/>
        <v>0</v>
      </c>
      <c r="P44" s="103">
        <f t="shared" si="22"/>
        <v>11.04</v>
      </c>
    </row>
    <row r="45" spans="1:16" s="400" customFormat="1" ht="15.05">
      <c r="A45" s="481">
        <v>0</v>
      </c>
      <c r="B45" s="482"/>
      <c r="C45" s="483" t="s">
        <v>1116</v>
      </c>
      <c r="D45" s="473" t="s">
        <v>1117</v>
      </c>
      <c r="E45" s="820">
        <f>E43*0.25</f>
        <v>3.5999999999999997E-2</v>
      </c>
      <c r="F45" s="462"/>
      <c r="G45" s="463"/>
      <c r="H45" s="455">
        <f t="shared" si="16"/>
        <v>0</v>
      </c>
      <c r="I45" s="464">
        <v>0</v>
      </c>
      <c r="J45" s="464">
        <v>80</v>
      </c>
      <c r="K45" s="102">
        <f t="shared" si="17"/>
        <v>80</v>
      </c>
      <c r="L45" s="50">
        <f t="shared" si="18"/>
        <v>0</v>
      </c>
      <c r="M45" s="102">
        <f t="shared" si="19"/>
        <v>0</v>
      </c>
      <c r="N45" s="102">
        <f t="shared" si="20"/>
        <v>0</v>
      </c>
      <c r="O45" s="102">
        <f t="shared" si="21"/>
        <v>2.88</v>
      </c>
      <c r="P45" s="103">
        <f t="shared" si="22"/>
        <v>2.88</v>
      </c>
    </row>
    <row r="46" spans="1:16" s="400" customFormat="1" ht="15.05">
      <c r="A46" s="481">
        <v>15</v>
      </c>
      <c r="B46" s="482"/>
      <c r="C46" s="483" t="s">
        <v>1126</v>
      </c>
      <c r="D46" s="473" t="s">
        <v>29</v>
      </c>
      <c r="E46" s="820">
        <v>0.11</v>
      </c>
      <c r="F46" s="462">
        <v>0.26</v>
      </c>
      <c r="G46" s="463">
        <v>9.5</v>
      </c>
      <c r="H46" s="455">
        <f t="shared" si="16"/>
        <v>2.4700000000000002</v>
      </c>
      <c r="I46" s="464">
        <v>2.4</v>
      </c>
      <c r="J46" s="464">
        <v>0.1</v>
      </c>
      <c r="K46" s="102">
        <f t="shared" si="17"/>
        <v>4.97</v>
      </c>
      <c r="L46" s="50">
        <f t="shared" si="18"/>
        <v>0.03</v>
      </c>
      <c r="M46" s="102">
        <f t="shared" si="19"/>
        <v>0.27</v>
      </c>
      <c r="N46" s="102">
        <f t="shared" si="20"/>
        <v>0.26</v>
      </c>
      <c r="O46" s="102">
        <f t="shared" si="21"/>
        <v>0.01</v>
      </c>
      <c r="P46" s="103">
        <f t="shared" si="22"/>
        <v>0.54</v>
      </c>
    </row>
    <row r="47" spans="1:16" s="400" customFormat="1" ht="15.05">
      <c r="A47" s="481">
        <v>16</v>
      </c>
      <c r="B47" s="482"/>
      <c r="C47" s="631" t="s">
        <v>1473</v>
      </c>
      <c r="D47" s="473" t="s">
        <v>1110</v>
      </c>
      <c r="E47" s="820">
        <v>2</v>
      </c>
      <c r="F47" s="462">
        <v>0.57999999999999996</v>
      </c>
      <c r="G47" s="463">
        <v>9.5</v>
      </c>
      <c r="H47" s="455">
        <f t="shared" si="16"/>
        <v>5.51</v>
      </c>
      <c r="I47" s="464">
        <v>16</v>
      </c>
      <c r="J47" s="464">
        <v>1</v>
      </c>
      <c r="K47" s="102">
        <f t="shared" si="17"/>
        <v>22.509999999999998</v>
      </c>
      <c r="L47" s="50">
        <f t="shared" si="18"/>
        <v>1.1599999999999999</v>
      </c>
      <c r="M47" s="102">
        <f t="shared" si="19"/>
        <v>11.02</v>
      </c>
      <c r="N47" s="102">
        <f t="shared" si="20"/>
        <v>32</v>
      </c>
      <c r="O47" s="102">
        <f t="shared" si="21"/>
        <v>2</v>
      </c>
      <c r="P47" s="103">
        <f t="shared" si="22"/>
        <v>45.019999999999996</v>
      </c>
    </row>
    <row r="48" spans="1:16" s="56" customFormat="1" ht="30.15">
      <c r="A48" s="481">
        <v>17</v>
      </c>
      <c r="B48" s="482"/>
      <c r="C48" s="483" t="s">
        <v>1137</v>
      </c>
      <c r="D48" s="473" t="s">
        <v>1120</v>
      </c>
      <c r="E48" s="820">
        <v>0.6</v>
      </c>
      <c r="F48" s="462">
        <f t="shared" ref="F48" si="23">ROUND(H48/G48,2)</f>
        <v>18.95</v>
      </c>
      <c r="G48" s="463">
        <v>9.5</v>
      </c>
      <c r="H48" s="455">
        <v>180</v>
      </c>
      <c r="I48" s="464"/>
      <c r="J48" s="464">
        <v>40</v>
      </c>
      <c r="K48" s="102">
        <f t="shared" si="17"/>
        <v>220</v>
      </c>
      <c r="L48" s="50">
        <f t="shared" si="18"/>
        <v>11.37</v>
      </c>
      <c r="M48" s="102">
        <f t="shared" si="19"/>
        <v>108</v>
      </c>
      <c r="N48" s="102">
        <f t="shared" si="20"/>
        <v>0</v>
      </c>
      <c r="O48" s="102">
        <f t="shared" si="21"/>
        <v>24</v>
      </c>
      <c r="P48" s="103">
        <f t="shared" si="22"/>
        <v>132</v>
      </c>
    </row>
    <row r="49" spans="1:16" s="56" customFormat="1" ht="30.15">
      <c r="A49" s="481">
        <v>0</v>
      </c>
      <c r="B49" s="482"/>
      <c r="C49" s="483" t="s">
        <v>1138</v>
      </c>
      <c r="D49" s="473" t="s">
        <v>1120</v>
      </c>
      <c r="E49" s="820">
        <f>E48*1.1</f>
        <v>0.66</v>
      </c>
      <c r="F49" s="462"/>
      <c r="G49" s="463"/>
      <c r="H49" s="455">
        <v>0</v>
      </c>
      <c r="I49" s="464">
        <v>1550</v>
      </c>
      <c r="J49" s="464"/>
      <c r="K49" s="102">
        <f t="shared" ref="K49:K50" si="24">SUM(H49:J49)</f>
        <v>1550</v>
      </c>
      <c r="L49" s="50">
        <f t="shared" si="18"/>
        <v>0</v>
      </c>
      <c r="M49" s="102">
        <f t="shared" si="19"/>
        <v>0</v>
      </c>
      <c r="N49" s="102">
        <f t="shared" si="20"/>
        <v>1023</v>
      </c>
      <c r="O49" s="102">
        <f t="shared" si="21"/>
        <v>0</v>
      </c>
      <c r="P49" s="103">
        <f t="shared" si="22"/>
        <v>1023</v>
      </c>
    </row>
    <row r="50" spans="1:16" s="56" customFormat="1" ht="15.05">
      <c r="A50" s="481">
        <v>0</v>
      </c>
      <c r="B50" s="482"/>
      <c r="C50" s="483" t="s">
        <v>1233</v>
      </c>
      <c r="D50" s="473" t="s">
        <v>136</v>
      </c>
      <c r="E50" s="820">
        <v>1</v>
      </c>
      <c r="F50" s="462"/>
      <c r="G50" s="463"/>
      <c r="H50" s="455">
        <v>0</v>
      </c>
      <c r="I50" s="464">
        <f>80*E48</f>
        <v>48</v>
      </c>
      <c r="J50" s="464"/>
      <c r="K50" s="102">
        <f t="shared" si="24"/>
        <v>48</v>
      </c>
      <c r="L50" s="50">
        <f t="shared" si="18"/>
        <v>0</v>
      </c>
      <c r="M50" s="102">
        <f t="shared" si="19"/>
        <v>0</v>
      </c>
      <c r="N50" s="102">
        <f t="shared" si="20"/>
        <v>48</v>
      </c>
      <c r="O50" s="102">
        <f t="shared" si="21"/>
        <v>0</v>
      </c>
      <c r="P50" s="103">
        <f t="shared" si="22"/>
        <v>48</v>
      </c>
    </row>
    <row r="51" spans="1:16" s="56" customFormat="1" ht="24.9">
      <c r="A51" s="529">
        <v>18</v>
      </c>
      <c r="B51" s="530"/>
      <c r="C51" s="531" t="s">
        <v>1608</v>
      </c>
      <c r="D51" s="530" t="s">
        <v>118</v>
      </c>
      <c r="E51" s="821">
        <v>22</v>
      </c>
      <c r="F51" s="240">
        <v>0.8</v>
      </c>
      <c r="G51" s="682">
        <v>9.5</v>
      </c>
      <c r="H51" s="240">
        <f t="shared" ref="H51" si="25">ROUND(G51*F51,2)</f>
        <v>7.6</v>
      </c>
      <c r="I51" s="240">
        <v>37</v>
      </c>
      <c r="J51" s="240">
        <v>1.07</v>
      </c>
      <c r="K51" s="102">
        <f t="shared" ref="K51" si="26">SUM(H51:J51)</f>
        <v>45.67</v>
      </c>
      <c r="L51" s="50">
        <f t="shared" si="18"/>
        <v>17.600000000000001</v>
      </c>
      <c r="M51" s="102">
        <f t="shared" si="19"/>
        <v>167.2</v>
      </c>
      <c r="N51" s="102">
        <f t="shared" si="20"/>
        <v>814</v>
      </c>
      <c r="O51" s="102">
        <f t="shared" si="21"/>
        <v>23.54</v>
      </c>
      <c r="P51" s="103">
        <f t="shared" si="22"/>
        <v>1004.74</v>
      </c>
    </row>
    <row r="52" spans="1:16" s="56" customFormat="1" ht="26.2">
      <c r="A52" s="101"/>
      <c r="B52" s="115"/>
      <c r="C52" s="681" t="s">
        <v>1262</v>
      </c>
      <c r="D52" s="453"/>
      <c r="E52" s="450"/>
      <c r="F52" s="526"/>
      <c r="G52" s="463"/>
      <c r="H52" s="527"/>
      <c r="I52" s="528"/>
      <c r="J52" s="528"/>
      <c r="K52" s="102"/>
      <c r="L52" s="50"/>
      <c r="M52" s="102"/>
      <c r="N52" s="102"/>
      <c r="O52" s="102"/>
      <c r="P52" s="103"/>
    </row>
    <row r="53" spans="1:16" s="56" customFormat="1" ht="15.05">
      <c r="A53" s="101"/>
      <c r="B53" s="115"/>
      <c r="C53" s="681" t="s">
        <v>1609</v>
      </c>
      <c r="D53" s="453"/>
      <c r="E53" s="450"/>
      <c r="F53" s="526"/>
      <c r="G53" s="463"/>
      <c r="H53" s="527"/>
      <c r="I53" s="528"/>
      <c r="J53" s="528"/>
      <c r="K53" s="102"/>
      <c r="L53" s="50"/>
      <c r="M53" s="102"/>
      <c r="N53" s="102"/>
      <c r="O53" s="102"/>
      <c r="P53" s="103"/>
    </row>
    <row r="54" spans="1:16" s="400" customFormat="1" ht="15.05">
      <c r="A54" s="481">
        <v>19</v>
      </c>
      <c r="B54" s="482"/>
      <c r="C54" s="631" t="s">
        <v>1471</v>
      </c>
      <c r="D54" s="473" t="s">
        <v>884</v>
      </c>
      <c r="E54" s="819">
        <f>0.098+0.55</f>
        <v>0.64800000000000002</v>
      </c>
      <c r="F54" s="462">
        <v>1</v>
      </c>
      <c r="G54" s="463">
        <v>9.5</v>
      </c>
      <c r="H54" s="455">
        <f t="shared" ref="H54:H66" si="27">ROUND(F54*G54,2)</f>
        <v>9.5</v>
      </c>
      <c r="I54" s="464">
        <v>22.8</v>
      </c>
      <c r="J54" s="464">
        <v>1.5</v>
      </c>
      <c r="K54" s="102">
        <f t="shared" ref="K54:K67" si="28">SUM(H54:J54)</f>
        <v>33.799999999999997</v>
      </c>
      <c r="L54" s="50">
        <f t="shared" ref="L54:L70" si="29">ROUND(F54*E54,2)</f>
        <v>0.65</v>
      </c>
      <c r="M54" s="102">
        <f t="shared" ref="M54:M70" si="30">ROUND(H54*E54,2)</f>
        <v>6.16</v>
      </c>
      <c r="N54" s="102">
        <f t="shared" ref="N54:N70" si="31">ROUND(I54*E54,2)</f>
        <v>14.77</v>
      </c>
      <c r="O54" s="102">
        <f t="shared" ref="O54:O70" si="32">ROUND(J54*E54,2)</f>
        <v>0.97</v>
      </c>
      <c r="P54" s="103">
        <f t="shared" ref="P54:P70" si="33">SUM(M54:O54)</f>
        <v>21.9</v>
      </c>
    </row>
    <row r="55" spans="1:16" s="400" customFormat="1" ht="30.15">
      <c r="A55" s="481">
        <v>20</v>
      </c>
      <c r="B55" s="482"/>
      <c r="C55" s="483" t="s">
        <v>1118</v>
      </c>
      <c r="D55" s="473" t="s">
        <v>29</v>
      </c>
      <c r="E55" s="820">
        <v>6</v>
      </c>
      <c r="F55" s="462">
        <v>0.65</v>
      </c>
      <c r="G55" s="463">
        <v>9.5</v>
      </c>
      <c r="H55" s="455">
        <f t="shared" si="27"/>
        <v>6.18</v>
      </c>
      <c r="I55" s="464">
        <v>0.68</v>
      </c>
      <c r="J55" s="464">
        <v>8.5</v>
      </c>
      <c r="K55" s="102">
        <f t="shared" si="28"/>
        <v>15.36</v>
      </c>
      <c r="L55" s="50">
        <f t="shared" si="29"/>
        <v>3.9</v>
      </c>
      <c r="M55" s="102">
        <f t="shared" si="30"/>
        <v>37.08</v>
      </c>
      <c r="N55" s="102">
        <f t="shared" si="31"/>
        <v>4.08</v>
      </c>
      <c r="O55" s="102">
        <f t="shared" si="32"/>
        <v>51</v>
      </c>
      <c r="P55" s="103">
        <f t="shared" si="33"/>
        <v>92.16</v>
      </c>
    </row>
    <row r="56" spans="1:16" s="400" customFormat="1" ht="30.15">
      <c r="A56" s="481">
        <v>21</v>
      </c>
      <c r="B56" s="482"/>
      <c r="C56" s="483" t="s">
        <v>1119</v>
      </c>
      <c r="D56" s="473" t="s">
        <v>1120</v>
      </c>
      <c r="E56" s="819">
        <f>0.006+0.083</f>
        <v>8.900000000000001E-2</v>
      </c>
      <c r="F56" s="462">
        <v>28.42</v>
      </c>
      <c r="G56" s="463">
        <v>9.5</v>
      </c>
      <c r="H56" s="455">
        <f t="shared" si="27"/>
        <v>269.99</v>
      </c>
      <c r="I56" s="464">
        <v>0</v>
      </c>
      <c r="J56" s="464">
        <v>40</v>
      </c>
      <c r="K56" s="102">
        <f t="shared" si="28"/>
        <v>309.99</v>
      </c>
      <c r="L56" s="50">
        <f t="shared" si="29"/>
        <v>2.5299999999999998</v>
      </c>
      <c r="M56" s="102">
        <f t="shared" si="30"/>
        <v>24.03</v>
      </c>
      <c r="N56" s="102">
        <f t="shared" si="31"/>
        <v>0</v>
      </c>
      <c r="O56" s="102">
        <f t="shared" si="32"/>
        <v>3.56</v>
      </c>
      <c r="P56" s="103">
        <f t="shared" si="33"/>
        <v>27.59</v>
      </c>
    </row>
    <row r="57" spans="1:16" s="400" customFormat="1" ht="15.05">
      <c r="A57" s="481">
        <v>0</v>
      </c>
      <c r="B57" s="482"/>
      <c r="C57" s="483" t="s">
        <v>1121</v>
      </c>
      <c r="D57" s="473" t="s">
        <v>1120</v>
      </c>
      <c r="E57" s="820">
        <f>E56*1.15</f>
        <v>0.10235</v>
      </c>
      <c r="F57" s="462"/>
      <c r="G57" s="463"/>
      <c r="H57" s="455">
        <f t="shared" si="27"/>
        <v>0</v>
      </c>
      <c r="I57" s="464">
        <v>640</v>
      </c>
      <c r="J57" s="464"/>
      <c r="K57" s="102">
        <f t="shared" si="28"/>
        <v>640</v>
      </c>
      <c r="L57" s="50">
        <f t="shared" si="29"/>
        <v>0</v>
      </c>
      <c r="M57" s="102">
        <f t="shared" si="30"/>
        <v>0</v>
      </c>
      <c r="N57" s="102">
        <f t="shared" si="31"/>
        <v>65.5</v>
      </c>
      <c r="O57" s="102">
        <f t="shared" si="32"/>
        <v>0</v>
      </c>
      <c r="P57" s="103">
        <f t="shared" si="33"/>
        <v>65.5</v>
      </c>
    </row>
    <row r="58" spans="1:16" s="400" customFormat="1" ht="30.15">
      <c r="A58" s="481">
        <v>0</v>
      </c>
      <c r="B58" s="482"/>
      <c r="C58" s="483" t="s">
        <v>1122</v>
      </c>
      <c r="D58" s="473" t="s">
        <v>136</v>
      </c>
      <c r="E58" s="820">
        <v>1</v>
      </c>
      <c r="F58" s="462"/>
      <c r="G58" s="463"/>
      <c r="H58" s="455">
        <f t="shared" si="27"/>
        <v>0</v>
      </c>
      <c r="I58" s="464">
        <f>90*E56</f>
        <v>8.0100000000000016</v>
      </c>
      <c r="J58" s="464"/>
      <c r="K58" s="102">
        <f t="shared" si="28"/>
        <v>8.0100000000000016</v>
      </c>
      <c r="L58" s="50">
        <f t="shared" si="29"/>
        <v>0</v>
      </c>
      <c r="M58" s="102">
        <f t="shared" si="30"/>
        <v>0</v>
      </c>
      <c r="N58" s="102">
        <f t="shared" si="31"/>
        <v>8.01</v>
      </c>
      <c r="O58" s="102">
        <f t="shared" si="32"/>
        <v>0</v>
      </c>
      <c r="P58" s="103">
        <f t="shared" si="33"/>
        <v>8.01</v>
      </c>
    </row>
    <row r="59" spans="1:16" s="400" customFormat="1" ht="15.05">
      <c r="A59" s="481">
        <v>22</v>
      </c>
      <c r="B59" s="482"/>
      <c r="C59" s="483" t="s">
        <v>1604</v>
      </c>
      <c r="D59" s="473" t="s">
        <v>884</v>
      </c>
      <c r="E59" s="819">
        <f>0.007+0.007</f>
        <v>1.4E-2</v>
      </c>
      <c r="F59" s="462">
        <v>3.98</v>
      </c>
      <c r="G59" s="463">
        <v>9.5</v>
      </c>
      <c r="H59" s="455">
        <f t="shared" si="27"/>
        <v>37.81</v>
      </c>
      <c r="I59" s="464">
        <v>0</v>
      </c>
      <c r="J59" s="464">
        <v>2.8</v>
      </c>
      <c r="K59" s="102">
        <f t="shared" si="28"/>
        <v>40.61</v>
      </c>
      <c r="L59" s="50">
        <f t="shared" si="29"/>
        <v>0.06</v>
      </c>
      <c r="M59" s="102">
        <f t="shared" si="30"/>
        <v>0.53</v>
      </c>
      <c r="N59" s="102">
        <f t="shared" si="31"/>
        <v>0</v>
      </c>
      <c r="O59" s="102">
        <f t="shared" si="32"/>
        <v>0.04</v>
      </c>
      <c r="P59" s="103">
        <f t="shared" si="33"/>
        <v>0.57000000000000006</v>
      </c>
    </row>
    <row r="60" spans="1:16" s="400" customFormat="1" ht="15.05">
      <c r="A60" s="481">
        <v>0</v>
      </c>
      <c r="B60" s="482"/>
      <c r="C60" s="483" t="s">
        <v>1125</v>
      </c>
      <c r="D60" s="473" t="s">
        <v>884</v>
      </c>
      <c r="E60" s="820">
        <f>E59*1.05</f>
        <v>1.4700000000000001E-2</v>
      </c>
      <c r="F60" s="462"/>
      <c r="G60" s="463"/>
      <c r="H60" s="455">
        <f t="shared" si="27"/>
        <v>0</v>
      </c>
      <c r="I60" s="464">
        <v>73</v>
      </c>
      <c r="J60" s="464"/>
      <c r="K60" s="102">
        <f t="shared" si="28"/>
        <v>73</v>
      </c>
      <c r="L60" s="50">
        <f t="shared" si="29"/>
        <v>0</v>
      </c>
      <c r="M60" s="102">
        <f t="shared" si="30"/>
        <v>0</v>
      </c>
      <c r="N60" s="102">
        <f t="shared" si="31"/>
        <v>1.07</v>
      </c>
      <c r="O60" s="102">
        <f t="shared" si="32"/>
        <v>0</v>
      </c>
      <c r="P60" s="103">
        <f t="shared" si="33"/>
        <v>1.07</v>
      </c>
    </row>
    <row r="61" spans="1:16" s="400" customFormat="1" ht="15.05">
      <c r="A61" s="481">
        <v>0</v>
      </c>
      <c r="B61" s="482"/>
      <c r="C61" s="483" t="s">
        <v>1116</v>
      </c>
      <c r="D61" s="473" t="s">
        <v>1117</v>
      </c>
      <c r="E61" s="820">
        <f>E59*0.25</f>
        <v>3.5000000000000001E-3</v>
      </c>
      <c r="F61" s="462"/>
      <c r="G61" s="463"/>
      <c r="H61" s="455">
        <f t="shared" si="27"/>
        <v>0</v>
      </c>
      <c r="I61" s="464">
        <v>0</v>
      </c>
      <c r="J61" s="464">
        <v>80</v>
      </c>
      <c r="K61" s="102">
        <f t="shared" si="28"/>
        <v>80</v>
      </c>
      <c r="L61" s="50">
        <f t="shared" si="29"/>
        <v>0</v>
      </c>
      <c r="M61" s="102">
        <f t="shared" si="30"/>
        <v>0</v>
      </c>
      <c r="N61" s="102">
        <f t="shared" si="31"/>
        <v>0</v>
      </c>
      <c r="O61" s="102">
        <f t="shared" si="32"/>
        <v>0.28000000000000003</v>
      </c>
      <c r="P61" s="103">
        <f t="shared" si="33"/>
        <v>0.28000000000000003</v>
      </c>
    </row>
    <row r="62" spans="1:16" s="400" customFormat="1" ht="15.05">
      <c r="A62" s="481">
        <v>23</v>
      </c>
      <c r="B62" s="482"/>
      <c r="C62" s="631" t="s">
        <v>1605</v>
      </c>
      <c r="D62" s="473" t="s">
        <v>884</v>
      </c>
      <c r="E62" s="820">
        <f>0.144+0.95</f>
        <v>1.0939999999999999</v>
      </c>
      <c r="F62" s="462">
        <v>3.98</v>
      </c>
      <c r="G62" s="463">
        <v>9.5</v>
      </c>
      <c r="H62" s="455">
        <f t="shared" si="27"/>
        <v>37.81</v>
      </c>
      <c r="I62" s="464">
        <v>0</v>
      </c>
      <c r="J62" s="464">
        <v>2.8</v>
      </c>
      <c r="K62" s="102">
        <f t="shared" si="28"/>
        <v>40.61</v>
      </c>
      <c r="L62" s="50">
        <f t="shared" si="29"/>
        <v>4.3499999999999996</v>
      </c>
      <c r="M62" s="102">
        <f t="shared" si="30"/>
        <v>41.36</v>
      </c>
      <c r="N62" s="102">
        <f t="shared" si="31"/>
        <v>0</v>
      </c>
      <c r="O62" s="102">
        <f t="shared" si="32"/>
        <v>3.06</v>
      </c>
      <c r="P62" s="103">
        <f t="shared" si="33"/>
        <v>44.42</v>
      </c>
    </row>
    <row r="63" spans="1:16" s="400" customFormat="1" ht="15.05">
      <c r="A63" s="481">
        <v>0</v>
      </c>
      <c r="B63" s="482"/>
      <c r="C63" s="483" t="s">
        <v>1125</v>
      </c>
      <c r="D63" s="473" t="s">
        <v>884</v>
      </c>
      <c r="E63" s="820">
        <f>E62*1.05</f>
        <v>1.1486999999999998</v>
      </c>
      <c r="F63" s="462"/>
      <c r="G63" s="463"/>
      <c r="H63" s="455">
        <f t="shared" si="27"/>
        <v>0</v>
      </c>
      <c r="I63" s="464">
        <v>73</v>
      </c>
      <c r="J63" s="464"/>
      <c r="K63" s="102">
        <f t="shared" si="28"/>
        <v>73</v>
      </c>
      <c r="L63" s="50">
        <f t="shared" si="29"/>
        <v>0</v>
      </c>
      <c r="M63" s="102">
        <f t="shared" si="30"/>
        <v>0</v>
      </c>
      <c r="N63" s="102">
        <f t="shared" si="31"/>
        <v>83.86</v>
      </c>
      <c r="O63" s="102">
        <f t="shared" si="32"/>
        <v>0</v>
      </c>
      <c r="P63" s="103">
        <f t="shared" si="33"/>
        <v>83.86</v>
      </c>
    </row>
    <row r="64" spans="1:16" s="400" customFormat="1" ht="15.05">
      <c r="A64" s="481">
        <v>0</v>
      </c>
      <c r="B64" s="482"/>
      <c r="C64" s="483" t="s">
        <v>1116</v>
      </c>
      <c r="D64" s="473" t="s">
        <v>1117</v>
      </c>
      <c r="E64" s="820">
        <f>E62*0.25</f>
        <v>0.27349999999999997</v>
      </c>
      <c r="F64" s="462"/>
      <c r="G64" s="463"/>
      <c r="H64" s="455">
        <f t="shared" si="27"/>
        <v>0</v>
      </c>
      <c r="I64" s="464">
        <v>0</v>
      </c>
      <c r="J64" s="464">
        <v>80</v>
      </c>
      <c r="K64" s="102">
        <f t="shared" si="28"/>
        <v>80</v>
      </c>
      <c r="L64" s="50">
        <f t="shared" si="29"/>
        <v>0</v>
      </c>
      <c r="M64" s="102">
        <f t="shared" si="30"/>
        <v>0</v>
      </c>
      <c r="N64" s="102">
        <f t="shared" si="31"/>
        <v>0</v>
      </c>
      <c r="O64" s="102">
        <f t="shared" si="32"/>
        <v>21.88</v>
      </c>
      <c r="P64" s="103">
        <f t="shared" si="33"/>
        <v>21.88</v>
      </c>
    </row>
    <row r="65" spans="1:16" s="400" customFormat="1" ht="15.05">
      <c r="A65" s="481">
        <v>24</v>
      </c>
      <c r="B65" s="482"/>
      <c r="C65" s="483" t="s">
        <v>1126</v>
      </c>
      <c r="D65" s="473" t="s">
        <v>29</v>
      </c>
      <c r="E65" s="820">
        <v>0.25</v>
      </c>
      <c r="F65" s="462">
        <v>0.26</v>
      </c>
      <c r="G65" s="463">
        <v>9.5</v>
      </c>
      <c r="H65" s="455">
        <f t="shared" si="27"/>
        <v>2.4700000000000002</v>
      </c>
      <c r="I65" s="464">
        <v>2.4</v>
      </c>
      <c r="J65" s="464">
        <v>0.1</v>
      </c>
      <c r="K65" s="102">
        <f t="shared" si="28"/>
        <v>4.97</v>
      </c>
      <c r="L65" s="50">
        <f t="shared" si="29"/>
        <v>7.0000000000000007E-2</v>
      </c>
      <c r="M65" s="102">
        <f t="shared" si="30"/>
        <v>0.62</v>
      </c>
      <c r="N65" s="102">
        <f t="shared" si="31"/>
        <v>0.6</v>
      </c>
      <c r="O65" s="102">
        <f t="shared" si="32"/>
        <v>0.03</v>
      </c>
      <c r="P65" s="103">
        <f t="shared" si="33"/>
        <v>1.25</v>
      </c>
    </row>
    <row r="66" spans="1:16" s="400" customFormat="1" ht="15.05">
      <c r="A66" s="481">
        <v>25</v>
      </c>
      <c r="B66" s="482"/>
      <c r="C66" s="631" t="s">
        <v>1473</v>
      </c>
      <c r="D66" s="473" t="s">
        <v>1110</v>
      </c>
      <c r="E66" s="820">
        <v>6</v>
      </c>
      <c r="F66" s="462">
        <v>0.57999999999999996</v>
      </c>
      <c r="G66" s="463">
        <v>9.5</v>
      </c>
      <c r="H66" s="455">
        <f t="shared" si="27"/>
        <v>5.51</v>
      </c>
      <c r="I66" s="464">
        <v>16</v>
      </c>
      <c r="J66" s="464">
        <v>1</v>
      </c>
      <c r="K66" s="102">
        <f t="shared" si="28"/>
        <v>22.509999999999998</v>
      </c>
      <c r="L66" s="50">
        <f t="shared" si="29"/>
        <v>3.48</v>
      </c>
      <c r="M66" s="102">
        <f t="shared" si="30"/>
        <v>33.06</v>
      </c>
      <c r="N66" s="102">
        <f t="shared" si="31"/>
        <v>96</v>
      </c>
      <c r="O66" s="102">
        <f t="shared" si="32"/>
        <v>6</v>
      </c>
      <c r="P66" s="103">
        <f t="shared" si="33"/>
        <v>135.06</v>
      </c>
    </row>
    <row r="67" spans="1:16" s="56" customFormat="1" ht="30.15">
      <c r="A67" s="481">
        <v>26</v>
      </c>
      <c r="B67" s="482"/>
      <c r="C67" s="483" t="s">
        <v>1137</v>
      </c>
      <c r="D67" s="473" t="s">
        <v>1120</v>
      </c>
      <c r="E67" s="820">
        <v>1.2</v>
      </c>
      <c r="F67" s="462">
        <f t="shared" ref="F67" si="34">ROUND(H67/G67,2)</f>
        <v>18.95</v>
      </c>
      <c r="G67" s="463">
        <v>9.5</v>
      </c>
      <c r="H67" s="455">
        <v>180</v>
      </c>
      <c r="I67" s="464"/>
      <c r="J67" s="464">
        <v>40</v>
      </c>
      <c r="K67" s="102">
        <f t="shared" si="28"/>
        <v>220</v>
      </c>
      <c r="L67" s="50">
        <f t="shared" si="29"/>
        <v>22.74</v>
      </c>
      <c r="M67" s="102">
        <f t="shared" si="30"/>
        <v>216</v>
      </c>
      <c r="N67" s="102">
        <f t="shared" si="31"/>
        <v>0</v>
      </c>
      <c r="O67" s="102">
        <f t="shared" si="32"/>
        <v>48</v>
      </c>
      <c r="P67" s="103">
        <f t="shared" si="33"/>
        <v>264</v>
      </c>
    </row>
    <row r="68" spans="1:16" s="56" customFormat="1" ht="30.15">
      <c r="A68" s="481">
        <v>0</v>
      </c>
      <c r="B68" s="482"/>
      <c r="C68" s="483" t="s">
        <v>1138</v>
      </c>
      <c r="D68" s="473" t="s">
        <v>1120</v>
      </c>
      <c r="E68" s="820">
        <f>E67*1.1</f>
        <v>1.32</v>
      </c>
      <c r="F68" s="462"/>
      <c r="G68" s="463"/>
      <c r="H68" s="455">
        <v>0</v>
      </c>
      <c r="I68" s="464">
        <v>1550</v>
      </c>
      <c r="J68" s="464"/>
      <c r="K68" s="102">
        <f t="shared" ref="K68:K69" si="35">SUM(H68:J68)</f>
        <v>1550</v>
      </c>
      <c r="L68" s="50">
        <f t="shared" si="29"/>
        <v>0</v>
      </c>
      <c r="M68" s="102">
        <f t="shared" si="30"/>
        <v>0</v>
      </c>
      <c r="N68" s="102">
        <f t="shared" si="31"/>
        <v>2046</v>
      </c>
      <c r="O68" s="102">
        <f t="shared" si="32"/>
        <v>0</v>
      </c>
      <c r="P68" s="103">
        <f t="shared" si="33"/>
        <v>2046</v>
      </c>
    </row>
    <row r="69" spans="1:16" s="56" customFormat="1" ht="15.05">
      <c r="A69" s="481">
        <v>0</v>
      </c>
      <c r="B69" s="482"/>
      <c r="C69" s="483" t="s">
        <v>1233</v>
      </c>
      <c r="D69" s="473" t="s">
        <v>136</v>
      </c>
      <c r="E69" s="820">
        <v>1</v>
      </c>
      <c r="F69" s="462"/>
      <c r="G69" s="463"/>
      <c r="H69" s="455">
        <v>0</v>
      </c>
      <c r="I69" s="464">
        <f>80*E67</f>
        <v>96</v>
      </c>
      <c r="J69" s="464"/>
      <c r="K69" s="102">
        <f t="shared" si="35"/>
        <v>96</v>
      </c>
      <c r="L69" s="50">
        <f t="shared" si="29"/>
        <v>0</v>
      </c>
      <c r="M69" s="102">
        <f t="shared" si="30"/>
        <v>0</v>
      </c>
      <c r="N69" s="102">
        <f t="shared" si="31"/>
        <v>96</v>
      </c>
      <c r="O69" s="102">
        <f t="shared" si="32"/>
        <v>0</v>
      </c>
      <c r="P69" s="103">
        <f t="shared" si="33"/>
        <v>96</v>
      </c>
    </row>
    <row r="70" spans="1:16" s="56" customFormat="1">
      <c r="A70" s="529">
        <v>27</v>
      </c>
      <c r="B70" s="530"/>
      <c r="C70" s="531" t="s">
        <v>1610</v>
      </c>
      <c r="D70" s="530" t="s">
        <v>118</v>
      </c>
      <c r="E70" s="821">
        <v>17</v>
      </c>
      <c r="F70" s="240">
        <v>0.8</v>
      </c>
      <c r="G70" s="682">
        <v>9.5</v>
      </c>
      <c r="H70" s="240">
        <f t="shared" ref="H70" si="36">ROUND(G70*F70,2)</f>
        <v>7.6</v>
      </c>
      <c r="I70" s="240">
        <v>37</v>
      </c>
      <c r="J70" s="240">
        <v>1.07</v>
      </c>
      <c r="K70" s="102">
        <f t="shared" ref="K70" si="37">SUM(H70:J70)</f>
        <v>45.67</v>
      </c>
      <c r="L70" s="50">
        <f t="shared" si="29"/>
        <v>13.6</v>
      </c>
      <c r="M70" s="102">
        <f t="shared" si="30"/>
        <v>129.19999999999999</v>
      </c>
      <c r="N70" s="102">
        <f t="shared" si="31"/>
        <v>629</v>
      </c>
      <c r="O70" s="102">
        <f t="shared" si="32"/>
        <v>18.190000000000001</v>
      </c>
      <c r="P70" s="103">
        <f t="shared" si="33"/>
        <v>776.3900000000001</v>
      </c>
    </row>
    <row r="71" spans="1:16" s="56" customFormat="1" ht="42.55" customHeight="1">
      <c r="A71" s="101"/>
      <c r="B71" s="115"/>
      <c r="C71" s="681" t="s">
        <v>1263</v>
      </c>
      <c r="D71" s="453"/>
      <c r="E71" s="450"/>
      <c r="F71" s="526"/>
      <c r="G71" s="463"/>
      <c r="H71" s="527"/>
      <c r="I71" s="528"/>
      <c r="J71" s="528"/>
      <c r="K71" s="102"/>
      <c r="L71" s="50"/>
      <c r="M71" s="102"/>
      <c r="N71" s="102"/>
      <c r="O71" s="102"/>
      <c r="P71" s="103"/>
    </row>
    <row r="72" spans="1:16" s="400" customFormat="1" ht="15.05">
      <c r="A72" s="481">
        <v>28</v>
      </c>
      <c r="B72" s="482"/>
      <c r="C72" s="631" t="s">
        <v>1471</v>
      </c>
      <c r="D72" s="473" t="s">
        <v>884</v>
      </c>
      <c r="E72" s="819">
        <f>0.098+0.55</f>
        <v>0.64800000000000002</v>
      </c>
      <c r="F72" s="462">
        <v>1</v>
      </c>
      <c r="G72" s="463">
        <v>9.5</v>
      </c>
      <c r="H72" s="455">
        <f t="shared" ref="H72:H84" si="38">ROUND(F72*G72,2)</f>
        <v>9.5</v>
      </c>
      <c r="I72" s="464">
        <v>22.8</v>
      </c>
      <c r="J72" s="464">
        <v>1.5</v>
      </c>
      <c r="K72" s="102">
        <f t="shared" ref="K72:K85" si="39">SUM(H72:J72)</f>
        <v>33.799999999999997</v>
      </c>
      <c r="L72" s="50">
        <f t="shared" ref="L72:L88" si="40">ROUND(F72*E72,2)</f>
        <v>0.65</v>
      </c>
      <c r="M72" s="102">
        <f t="shared" ref="M72:M88" si="41">ROUND(H72*E72,2)</f>
        <v>6.16</v>
      </c>
      <c r="N72" s="102">
        <f t="shared" ref="N72:N88" si="42">ROUND(I72*E72,2)</f>
        <v>14.77</v>
      </c>
      <c r="O72" s="102">
        <f t="shared" ref="O72:O88" si="43">ROUND(J72*E72,2)</f>
        <v>0.97</v>
      </c>
      <c r="P72" s="103">
        <f t="shared" ref="P72:P88" si="44">SUM(M72:O72)</f>
        <v>21.9</v>
      </c>
    </row>
    <row r="73" spans="1:16" s="400" customFormat="1" ht="30.15">
      <c r="A73" s="481">
        <v>29</v>
      </c>
      <c r="B73" s="482"/>
      <c r="C73" s="483" t="s">
        <v>1118</v>
      </c>
      <c r="D73" s="473" t="s">
        <v>29</v>
      </c>
      <c r="E73" s="820">
        <v>8</v>
      </c>
      <c r="F73" s="462">
        <v>0.65</v>
      </c>
      <c r="G73" s="463">
        <v>9.5</v>
      </c>
      <c r="H73" s="455">
        <f t="shared" si="38"/>
        <v>6.18</v>
      </c>
      <c r="I73" s="464">
        <v>0.68</v>
      </c>
      <c r="J73" s="464">
        <v>8.5</v>
      </c>
      <c r="K73" s="102">
        <f t="shared" si="39"/>
        <v>15.36</v>
      </c>
      <c r="L73" s="50">
        <f t="shared" si="40"/>
        <v>5.2</v>
      </c>
      <c r="M73" s="102">
        <f t="shared" si="41"/>
        <v>49.44</v>
      </c>
      <c r="N73" s="102">
        <f t="shared" si="42"/>
        <v>5.44</v>
      </c>
      <c r="O73" s="102">
        <f t="shared" si="43"/>
        <v>68</v>
      </c>
      <c r="P73" s="103">
        <f t="shared" si="44"/>
        <v>122.88</v>
      </c>
    </row>
    <row r="74" spans="1:16" s="400" customFormat="1" ht="30.15">
      <c r="A74" s="481">
        <v>30</v>
      </c>
      <c r="B74" s="482"/>
      <c r="C74" s="483" t="s">
        <v>1119</v>
      </c>
      <c r="D74" s="473" t="s">
        <v>1120</v>
      </c>
      <c r="E74" s="819">
        <f>0.006+0.083</f>
        <v>8.900000000000001E-2</v>
      </c>
      <c r="F74" s="462">
        <v>28.42</v>
      </c>
      <c r="G74" s="463">
        <v>9.5</v>
      </c>
      <c r="H74" s="455">
        <f t="shared" si="38"/>
        <v>269.99</v>
      </c>
      <c r="I74" s="464">
        <v>0</v>
      </c>
      <c r="J74" s="464">
        <v>40</v>
      </c>
      <c r="K74" s="102">
        <f t="shared" si="39"/>
        <v>309.99</v>
      </c>
      <c r="L74" s="50">
        <f t="shared" si="40"/>
        <v>2.5299999999999998</v>
      </c>
      <c r="M74" s="102">
        <f t="shared" si="41"/>
        <v>24.03</v>
      </c>
      <c r="N74" s="102">
        <f t="shared" si="42"/>
        <v>0</v>
      </c>
      <c r="O74" s="102">
        <f t="shared" si="43"/>
        <v>3.56</v>
      </c>
      <c r="P74" s="103">
        <f t="shared" si="44"/>
        <v>27.59</v>
      </c>
    </row>
    <row r="75" spans="1:16" s="400" customFormat="1" ht="15.05">
      <c r="A75" s="481">
        <v>0</v>
      </c>
      <c r="B75" s="482"/>
      <c r="C75" s="483" t="s">
        <v>1121</v>
      </c>
      <c r="D75" s="473" t="s">
        <v>1120</v>
      </c>
      <c r="E75" s="820">
        <f>E74*1.15</f>
        <v>0.10235</v>
      </c>
      <c r="F75" s="462"/>
      <c r="G75" s="463"/>
      <c r="H75" s="455">
        <f t="shared" si="38"/>
        <v>0</v>
      </c>
      <c r="I75" s="464">
        <v>640</v>
      </c>
      <c r="J75" s="464"/>
      <c r="K75" s="102">
        <f t="shared" si="39"/>
        <v>640</v>
      </c>
      <c r="L75" s="50">
        <f t="shared" si="40"/>
        <v>0</v>
      </c>
      <c r="M75" s="102">
        <f t="shared" si="41"/>
        <v>0</v>
      </c>
      <c r="N75" s="102">
        <f t="shared" si="42"/>
        <v>65.5</v>
      </c>
      <c r="O75" s="102">
        <f t="shared" si="43"/>
        <v>0</v>
      </c>
      <c r="P75" s="103">
        <f t="shared" si="44"/>
        <v>65.5</v>
      </c>
    </row>
    <row r="76" spans="1:16" s="400" customFormat="1" ht="30.15">
      <c r="A76" s="481">
        <v>0</v>
      </c>
      <c r="B76" s="482"/>
      <c r="C76" s="483" t="s">
        <v>1122</v>
      </c>
      <c r="D76" s="473" t="s">
        <v>136</v>
      </c>
      <c r="E76" s="820">
        <v>1</v>
      </c>
      <c r="F76" s="462"/>
      <c r="G76" s="463"/>
      <c r="H76" s="455">
        <f t="shared" si="38"/>
        <v>0</v>
      </c>
      <c r="I76" s="464">
        <f>90*E74</f>
        <v>8.0100000000000016</v>
      </c>
      <c r="J76" s="464"/>
      <c r="K76" s="102">
        <f t="shared" si="39"/>
        <v>8.0100000000000016</v>
      </c>
      <c r="L76" s="50">
        <f t="shared" si="40"/>
        <v>0</v>
      </c>
      <c r="M76" s="102">
        <f t="shared" si="41"/>
        <v>0</v>
      </c>
      <c r="N76" s="102">
        <f t="shared" si="42"/>
        <v>8.01</v>
      </c>
      <c r="O76" s="102">
        <f t="shared" si="43"/>
        <v>0</v>
      </c>
      <c r="P76" s="103">
        <f t="shared" si="44"/>
        <v>8.01</v>
      </c>
    </row>
    <row r="77" spans="1:16" s="400" customFormat="1" ht="15.05">
      <c r="A77" s="481">
        <v>31</v>
      </c>
      <c r="B77" s="482"/>
      <c r="C77" s="483" t="s">
        <v>1604</v>
      </c>
      <c r="D77" s="473" t="s">
        <v>884</v>
      </c>
      <c r="E77" s="819">
        <f>0.007+0.007</f>
        <v>1.4E-2</v>
      </c>
      <c r="F77" s="462">
        <v>3.98</v>
      </c>
      <c r="G77" s="463">
        <v>9.5</v>
      </c>
      <c r="H77" s="455">
        <f t="shared" si="38"/>
        <v>37.81</v>
      </c>
      <c r="I77" s="464">
        <v>0</v>
      </c>
      <c r="J77" s="464">
        <v>2.8</v>
      </c>
      <c r="K77" s="102">
        <f t="shared" si="39"/>
        <v>40.61</v>
      </c>
      <c r="L77" s="50">
        <f t="shared" si="40"/>
        <v>0.06</v>
      </c>
      <c r="M77" s="102">
        <f t="shared" si="41"/>
        <v>0.53</v>
      </c>
      <c r="N77" s="102">
        <f t="shared" si="42"/>
        <v>0</v>
      </c>
      <c r="O77" s="102">
        <f t="shared" si="43"/>
        <v>0.04</v>
      </c>
      <c r="P77" s="103">
        <f t="shared" si="44"/>
        <v>0.57000000000000006</v>
      </c>
    </row>
    <row r="78" spans="1:16" s="400" customFormat="1" ht="15.05">
      <c r="A78" s="481">
        <v>0</v>
      </c>
      <c r="B78" s="482"/>
      <c r="C78" s="483" t="s">
        <v>1125</v>
      </c>
      <c r="D78" s="473" t="s">
        <v>884</v>
      </c>
      <c r="E78" s="820">
        <f>E77*1.05</f>
        <v>1.4700000000000001E-2</v>
      </c>
      <c r="F78" s="462"/>
      <c r="G78" s="463"/>
      <c r="H78" s="455">
        <f t="shared" si="38"/>
        <v>0</v>
      </c>
      <c r="I78" s="464">
        <v>73</v>
      </c>
      <c r="J78" s="464"/>
      <c r="K78" s="102">
        <f t="shared" si="39"/>
        <v>73</v>
      </c>
      <c r="L78" s="50">
        <f t="shared" si="40"/>
        <v>0</v>
      </c>
      <c r="M78" s="102">
        <f t="shared" si="41"/>
        <v>0</v>
      </c>
      <c r="N78" s="102">
        <f t="shared" si="42"/>
        <v>1.07</v>
      </c>
      <c r="O78" s="102">
        <f t="shared" si="43"/>
        <v>0</v>
      </c>
      <c r="P78" s="103">
        <f t="shared" si="44"/>
        <v>1.07</v>
      </c>
    </row>
    <row r="79" spans="1:16" s="400" customFormat="1" ht="15.05">
      <c r="A79" s="481">
        <v>0</v>
      </c>
      <c r="B79" s="482"/>
      <c r="C79" s="483" t="s">
        <v>1116</v>
      </c>
      <c r="D79" s="473" t="s">
        <v>1117</v>
      </c>
      <c r="E79" s="820">
        <f>E77*0.25</f>
        <v>3.5000000000000001E-3</v>
      </c>
      <c r="F79" s="462"/>
      <c r="G79" s="463"/>
      <c r="H79" s="455">
        <f t="shared" si="38"/>
        <v>0</v>
      </c>
      <c r="I79" s="464">
        <v>0</v>
      </c>
      <c r="J79" s="464">
        <v>80</v>
      </c>
      <c r="K79" s="102">
        <f t="shared" si="39"/>
        <v>80</v>
      </c>
      <c r="L79" s="50">
        <f t="shared" si="40"/>
        <v>0</v>
      </c>
      <c r="M79" s="102">
        <f t="shared" si="41"/>
        <v>0</v>
      </c>
      <c r="N79" s="102">
        <f t="shared" si="42"/>
        <v>0</v>
      </c>
      <c r="O79" s="102">
        <f t="shared" si="43"/>
        <v>0.28000000000000003</v>
      </c>
      <c r="P79" s="103">
        <f t="shared" si="44"/>
        <v>0.28000000000000003</v>
      </c>
    </row>
    <row r="80" spans="1:16" s="400" customFormat="1" ht="15.05">
      <c r="A80" s="481">
        <v>32</v>
      </c>
      <c r="B80" s="482"/>
      <c r="C80" s="631" t="s">
        <v>1605</v>
      </c>
      <c r="D80" s="473" t="s">
        <v>884</v>
      </c>
      <c r="E80" s="820">
        <f>0.144+0.95</f>
        <v>1.0939999999999999</v>
      </c>
      <c r="F80" s="462">
        <v>3.98</v>
      </c>
      <c r="G80" s="463">
        <v>9.5</v>
      </c>
      <c r="H80" s="455">
        <f t="shared" si="38"/>
        <v>37.81</v>
      </c>
      <c r="I80" s="464">
        <v>0</v>
      </c>
      <c r="J80" s="464">
        <v>2.8</v>
      </c>
      <c r="K80" s="102">
        <f t="shared" si="39"/>
        <v>40.61</v>
      </c>
      <c r="L80" s="50">
        <f t="shared" si="40"/>
        <v>4.3499999999999996</v>
      </c>
      <c r="M80" s="102">
        <f t="shared" si="41"/>
        <v>41.36</v>
      </c>
      <c r="N80" s="102">
        <f t="shared" si="42"/>
        <v>0</v>
      </c>
      <c r="O80" s="102">
        <f t="shared" si="43"/>
        <v>3.06</v>
      </c>
      <c r="P80" s="103">
        <f t="shared" si="44"/>
        <v>44.42</v>
      </c>
    </row>
    <row r="81" spans="1:16" s="400" customFormat="1" ht="15.05">
      <c r="A81" s="481">
        <v>0</v>
      </c>
      <c r="B81" s="482"/>
      <c r="C81" s="483" t="s">
        <v>1125</v>
      </c>
      <c r="D81" s="473" t="s">
        <v>884</v>
      </c>
      <c r="E81" s="820">
        <f>E80*1.05</f>
        <v>1.1486999999999998</v>
      </c>
      <c r="F81" s="462"/>
      <c r="G81" s="463"/>
      <c r="H81" s="455">
        <f t="shared" si="38"/>
        <v>0</v>
      </c>
      <c r="I81" s="464">
        <v>73</v>
      </c>
      <c r="J81" s="464"/>
      <c r="K81" s="102">
        <f t="shared" si="39"/>
        <v>73</v>
      </c>
      <c r="L81" s="50">
        <f t="shared" si="40"/>
        <v>0</v>
      </c>
      <c r="M81" s="102">
        <f t="shared" si="41"/>
        <v>0</v>
      </c>
      <c r="N81" s="102">
        <f t="shared" si="42"/>
        <v>83.86</v>
      </c>
      <c r="O81" s="102">
        <f t="shared" si="43"/>
        <v>0</v>
      </c>
      <c r="P81" s="103">
        <f t="shared" si="44"/>
        <v>83.86</v>
      </c>
    </row>
    <row r="82" spans="1:16" s="400" customFormat="1" ht="15.05">
      <c r="A82" s="481">
        <v>0</v>
      </c>
      <c r="B82" s="482"/>
      <c r="C82" s="483" t="s">
        <v>1116</v>
      </c>
      <c r="D82" s="473" t="s">
        <v>1117</v>
      </c>
      <c r="E82" s="820">
        <f>E80*0.25</f>
        <v>0.27349999999999997</v>
      </c>
      <c r="F82" s="462"/>
      <c r="G82" s="463"/>
      <c r="H82" s="455">
        <f t="shared" si="38"/>
        <v>0</v>
      </c>
      <c r="I82" s="464">
        <v>0</v>
      </c>
      <c r="J82" s="464">
        <v>80</v>
      </c>
      <c r="K82" s="102">
        <f t="shared" si="39"/>
        <v>80</v>
      </c>
      <c r="L82" s="50">
        <f t="shared" si="40"/>
        <v>0</v>
      </c>
      <c r="M82" s="102">
        <f t="shared" si="41"/>
        <v>0</v>
      </c>
      <c r="N82" s="102">
        <f t="shared" si="42"/>
        <v>0</v>
      </c>
      <c r="O82" s="102">
        <f t="shared" si="43"/>
        <v>21.88</v>
      </c>
      <c r="P82" s="103">
        <f t="shared" si="44"/>
        <v>21.88</v>
      </c>
    </row>
    <row r="83" spans="1:16" s="400" customFormat="1" ht="15.05">
      <c r="A83" s="481">
        <v>33</v>
      </c>
      <c r="B83" s="482"/>
      <c r="C83" s="483" t="s">
        <v>1126</v>
      </c>
      <c r="D83" s="473" t="s">
        <v>29</v>
      </c>
      <c r="E83" s="820">
        <v>0.25</v>
      </c>
      <c r="F83" s="462">
        <v>0.26</v>
      </c>
      <c r="G83" s="463">
        <v>9.5</v>
      </c>
      <c r="H83" s="455">
        <f t="shared" si="38"/>
        <v>2.4700000000000002</v>
      </c>
      <c r="I83" s="464">
        <v>2.4</v>
      </c>
      <c r="J83" s="464">
        <v>0.1</v>
      </c>
      <c r="K83" s="102">
        <f t="shared" si="39"/>
        <v>4.97</v>
      </c>
      <c r="L83" s="50">
        <f t="shared" si="40"/>
        <v>7.0000000000000007E-2</v>
      </c>
      <c r="M83" s="102">
        <f t="shared" si="41"/>
        <v>0.62</v>
      </c>
      <c r="N83" s="102">
        <f t="shared" si="42"/>
        <v>0.6</v>
      </c>
      <c r="O83" s="102">
        <f t="shared" si="43"/>
        <v>0.03</v>
      </c>
      <c r="P83" s="103">
        <f t="shared" si="44"/>
        <v>1.25</v>
      </c>
    </row>
    <row r="84" spans="1:16" s="400" customFormat="1" ht="15.05">
      <c r="A84" s="481">
        <v>34</v>
      </c>
      <c r="B84" s="482"/>
      <c r="C84" s="631" t="s">
        <v>1473</v>
      </c>
      <c r="D84" s="473" t="s">
        <v>1110</v>
      </c>
      <c r="E84" s="820">
        <v>6</v>
      </c>
      <c r="F84" s="462">
        <v>0.57999999999999996</v>
      </c>
      <c r="G84" s="463">
        <v>9.5</v>
      </c>
      <c r="H84" s="455">
        <f t="shared" si="38"/>
        <v>5.51</v>
      </c>
      <c r="I84" s="464">
        <v>16</v>
      </c>
      <c r="J84" s="464">
        <v>1</v>
      </c>
      <c r="K84" s="102">
        <f t="shared" si="39"/>
        <v>22.509999999999998</v>
      </c>
      <c r="L84" s="50">
        <f t="shared" si="40"/>
        <v>3.48</v>
      </c>
      <c r="M84" s="102">
        <f t="shared" si="41"/>
        <v>33.06</v>
      </c>
      <c r="N84" s="102">
        <f t="shared" si="42"/>
        <v>96</v>
      </c>
      <c r="O84" s="102">
        <f t="shared" si="43"/>
        <v>6</v>
      </c>
      <c r="P84" s="103">
        <f t="shared" si="44"/>
        <v>135.06</v>
      </c>
    </row>
    <row r="85" spans="1:16" s="56" customFormat="1" ht="30.15">
      <c r="A85" s="481">
        <v>35</v>
      </c>
      <c r="B85" s="482"/>
      <c r="C85" s="483" t="s">
        <v>1137</v>
      </c>
      <c r="D85" s="473" t="s">
        <v>1120</v>
      </c>
      <c r="E85" s="820">
        <v>0.71</v>
      </c>
      <c r="F85" s="462">
        <f t="shared" ref="F85" si="45">ROUND(H85/G85,2)</f>
        <v>18.95</v>
      </c>
      <c r="G85" s="463">
        <v>9.5</v>
      </c>
      <c r="H85" s="455">
        <v>180</v>
      </c>
      <c r="I85" s="464"/>
      <c r="J85" s="464">
        <v>40</v>
      </c>
      <c r="K85" s="102">
        <f t="shared" si="39"/>
        <v>220</v>
      </c>
      <c r="L85" s="50">
        <f t="shared" si="40"/>
        <v>13.45</v>
      </c>
      <c r="M85" s="102">
        <f t="shared" si="41"/>
        <v>127.8</v>
      </c>
      <c r="N85" s="102">
        <f t="shared" si="42"/>
        <v>0</v>
      </c>
      <c r="O85" s="102">
        <f t="shared" si="43"/>
        <v>28.4</v>
      </c>
      <c r="P85" s="103">
        <f t="shared" si="44"/>
        <v>156.19999999999999</v>
      </c>
    </row>
    <row r="86" spans="1:16" s="56" customFormat="1" ht="30.15">
      <c r="A86" s="481">
        <v>0</v>
      </c>
      <c r="B86" s="482"/>
      <c r="C86" s="483" t="s">
        <v>1138</v>
      </c>
      <c r="D86" s="473" t="s">
        <v>1120</v>
      </c>
      <c r="E86" s="820">
        <f>E85*1.1</f>
        <v>0.78100000000000003</v>
      </c>
      <c r="F86" s="462"/>
      <c r="G86" s="463"/>
      <c r="H86" s="455">
        <v>0</v>
      </c>
      <c r="I86" s="464">
        <v>1550</v>
      </c>
      <c r="J86" s="464"/>
      <c r="K86" s="102">
        <f t="shared" ref="K86:K87" si="46">SUM(H86:J86)</f>
        <v>1550</v>
      </c>
      <c r="L86" s="50">
        <f t="shared" si="40"/>
        <v>0</v>
      </c>
      <c r="M86" s="102">
        <f t="shared" si="41"/>
        <v>0</v>
      </c>
      <c r="N86" s="102">
        <f t="shared" si="42"/>
        <v>1210.55</v>
      </c>
      <c r="O86" s="102">
        <f t="shared" si="43"/>
        <v>0</v>
      </c>
      <c r="P86" s="103">
        <f t="shared" si="44"/>
        <v>1210.55</v>
      </c>
    </row>
    <row r="87" spans="1:16" s="56" customFormat="1" ht="15.05">
      <c r="A87" s="481">
        <v>0</v>
      </c>
      <c r="B87" s="482"/>
      <c r="C87" s="483" t="s">
        <v>1233</v>
      </c>
      <c r="D87" s="473" t="s">
        <v>136</v>
      </c>
      <c r="E87" s="820">
        <v>1</v>
      </c>
      <c r="F87" s="462"/>
      <c r="G87" s="463"/>
      <c r="H87" s="455">
        <v>0</v>
      </c>
      <c r="I87" s="464">
        <f>80*E85</f>
        <v>56.8</v>
      </c>
      <c r="J87" s="464"/>
      <c r="K87" s="102">
        <f t="shared" si="46"/>
        <v>56.8</v>
      </c>
      <c r="L87" s="50">
        <f t="shared" si="40"/>
        <v>0</v>
      </c>
      <c r="M87" s="102">
        <f t="shared" si="41"/>
        <v>0</v>
      </c>
      <c r="N87" s="102">
        <f t="shared" si="42"/>
        <v>56.8</v>
      </c>
      <c r="O87" s="102">
        <f t="shared" si="43"/>
        <v>0</v>
      </c>
      <c r="P87" s="103">
        <f t="shared" si="44"/>
        <v>56.8</v>
      </c>
    </row>
    <row r="88" spans="1:16" s="56" customFormat="1">
      <c r="A88" s="529">
        <v>36</v>
      </c>
      <c r="B88" s="530"/>
      <c r="C88" s="531" t="s">
        <v>1611</v>
      </c>
      <c r="D88" s="530" t="s">
        <v>118</v>
      </c>
      <c r="E88" s="821">
        <v>19</v>
      </c>
      <c r="F88" s="240">
        <v>0.8</v>
      </c>
      <c r="G88" s="682">
        <v>9.5</v>
      </c>
      <c r="H88" s="240">
        <f t="shared" ref="H88" si="47">ROUND(G88*F88,2)</f>
        <v>7.6</v>
      </c>
      <c r="I88" s="240">
        <v>37</v>
      </c>
      <c r="J88" s="240">
        <v>1.07</v>
      </c>
      <c r="K88" s="102">
        <f t="shared" ref="K88" si="48">SUM(H88:J88)</f>
        <v>45.67</v>
      </c>
      <c r="L88" s="50">
        <f t="shared" si="40"/>
        <v>15.2</v>
      </c>
      <c r="M88" s="102">
        <f t="shared" si="41"/>
        <v>144.4</v>
      </c>
      <c r="N88" s="102">
        <f t="shared" si="42"/>
        <v>703</v>
      </c>
      <c r="O88" s="102">
        <f t="shared" si="43"/>
        <v>20.329999999999998</v>
      </c>
      <c r="P88" s="103">
        <f t="shared" si="44"/>
        <v>867.73</v>
      </c>
    </row>
    <row r="89" spans="1:16" s="56" customFormat="1" ht="15.05">
      <c r="A89" s="101"/>
      <c r="B89" s="115"/>
      <c r="C89" s="517"/>
      <c r="D89" s="453"/>
      <c r="E89" s="450"/>
      <c r="F89" s="526"/>
      <c r="G89" s="463"/>
      <c r="H89" s="527"/>
      <c r="I89" s="528"/>
      <c r="J89" s="528"/>
      <c r="K89" s="102"/>
      <c r="L89" s="50"/>
      <c r="M89" s="102"/>
      <c r="N89" s="102"/>
      <c r="O89" s="102"/>
      <c r="P89" s="103"/>
    </row>
    <row r="90" spans="1:16" s="56" customFormat="1">
      <c r="A90" s="529">
        <v>37</v>
      </c>
      <c r="B90" s="530"/>
      <c r="C90" s="531" t="s">
        <v>1264</v>
      </c>
      <c r="D90" s="530" t="s">
        <v>111</v>
      </c>
      <c r="E90" s="821">
        <v>80</v>
      </c>
      <c r="F90" s="532">
        <v>1.2</v>
      </c>
      <c r="G90" s="463">
        <v>9.5</v>
      </c>
      <c r="H90" s="532">
        <f t="shared" ref="H90:H91" si="49">ROUND(G90*F90,2)</f>
        <v>11.4</v>
      </c>
      <c r="I90" s="532">
        <v>90</v>
      </c>
      <c r="J90" s="532">
        <v>1.07</v>
      </c>
      <c r="K90" s="102">
        <f t="shared" ref="K90:K91" si="50">SUM(H90:J90)</f>
        <v>102.47</v>
      </c>
      <c r="L90" s="50">
        <f t="shared" ref="L90:L91" si="51">ROUND(F90*E90,2)</f>
        <v>96</v>
      </c>
      <c r="M90" s="102">
        <f t="shared" ref="M90:M91" si="52">ROUND(H90*E90,2)</f>
        <v>912</v>
      </c>
      <c r="N90" s="102">
        <f t="shared" ref="N90:N91" si="53">ROUND(I90*E90,2)</f>
        <v>7200</v>
      </c>
      <c r="O90" s="102">
        <f t="shared" ref="O90:O91" si="54">ROUND(J90*E90,2)</f>
        <v>85.6</v>
      </c>
      <c r="P90" s="103">
        <f t="shared" ref="P90:P91" si="55">SUM(M90:O90)</f>
        <v>8197.6</v>
      </c>
    </row>
    <row r="91" spans="1:16" s="56" customFormat="1" ht="24.9">
      <c r="A91" s="529">
        <v>38</v>
      </c>
      <c r="B91" s="530"/>
      <c r="C91" s="531" t="s">
        <v>1265</v>
      </c>
      <c r="D91" s="530" t="s">
        <v>111</v>
      </c>
      <c r="E91" s="821">
        <v>84</v>
      </c>
      <c r="F91" s="532">
        <v>1.2</v>
      </c>
      <c r="G91" s="463">
        <v>9.5</v>
      </c>
      <c r="H91" s="532">
        <f t="shared" si="49"/>
        <v>11.4</v>
      </c>
      <c r="I91" s="532">
        <v>120</v>
      </c>
      <c r="J91" s="532">
        <v>1.07</v>
      </c>
      <c r="K91" s="102">
        <f t="shared" si="50"/>
        <v>132.47</v>
      </c>
      <c r="L91" s="50">
        <f t="shared" si="51"/>
        <v>100.8</v>
      </c>
      <c r="M91" s="102">
        <f t="shared" si="52"/>
        <v>957.6</v>
      </c>
      <c r="N91" s="102">
        <f t="shared" si="53"/>
        <v>10080</v>
      </c>
      <c r="O91" s="102">
        <f t="shared" si="54"/>
        <v>89.88</v>
      </c>
      <c r="P91" s="103">
        <f t="shared" si="55"/>
        <v>11127.48</v>
      </c>
    </row>
    <row r="92" spans="1:16">
      <c r="A92" s="34"/>
      <c r="B92" s="35"/>
      <c r="C92" s="36"/>
      <c r="D92" s="37"/>
      <c r="E92" s="38"/>
      <c r="F92" s="38">
        <v>0</v>
      </c>
      <c r="G92" s="38">
        <v>0</v>
      </c>
      <c r="H92" s="39"/>
      <c r="I92" s="39"/>
      <c r="J92" s="38"/>
      <c r="K92" s="38"/>
      <c r="L92" s="38"/>
      <c r="M92" s="38"/>
      <c r="N92" s="38"/>
      <c r="O92" s="38"/>
      <c r="P92" s="40"/>
    </row>
    <row r="93" spans="1:16" ht="15.05" customHeight="1">
      <c r="A93" s="41"/>
      <c r="B93" s="41"/>
      <c r="C93" s="932" t="s">
        <v>98</v>
      </c>
      <c r="D93" s="933"/>
      <c r="E93" s="933"/>
      <c r="F93" s="933"/>
      <c r="G93" s="933"/>
      <c r="H93" s="933"/>
      <c r="I93" s="933"/>
      <c r="J93" s="933"/>
      <c r="K93" s="933"/>
      <c r="L93" s="42">
        <f>SUM(L13:L92)</f>
        <v>385.07</v>
      </c>
      <c r="M93" s="42">
        <f>SUM(M13:M92)</f>
        <v>3658.1499999999996</v>
      </c>
      <c r="N93" s="42">
        <f>SUM(N13:N92)</f>
        <v>28882.300000000003</v>
      </c>
      <c r="O93" s="42">
        <f>SUM(O13:O92)</f>
        <v>725.18000000000006</v>
      </c>
      <c r="P93" s="42">
        <f>SUM(P13:P92)</f>
        <v>33265.629999999997</v>
      </c>
    </row>
    <row r="94" spans="1:16" s="125" customFormat="1" collapsed="1">
      <c r="I94" s="146"/>
    </row>
    <row r="95" spans="1:16" s="122" customFormat="1" ht="12.8" customHeight="1">
      <c r="B95" s="147" t="s">
        <v>54</v>
      </c>
    </row>
    <row r="96" spans="1:16" s="122" customFormat="1" ht="45" customHeight="1">
      <c r="A96"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96" s="926"/>
      <c r="C96" s="926"/>
      <c r="D96" s="926"/>
      <c r="E96" s="926"/>
      <c r="F96" s="926"/>
      <c r="G96" s="926"/>
      <c r="H96" s="926"/>
      <c r="I96" s="926"/>
      <c r="J96" s="926"/>
      <c r="K96" s="926"/>
      <c r="L96" s="926"/>
      <c r="M96" s="926"/>
      <c r="N96" s="926"/>
      <c r="O96" s="926"/>
      <c r="P96" s="926"/>
    </row>
    <row r="97" spans="1:16" s="122" customFormat="1" ht="66.8" customHeight="1">
      <c r="A97" s="925"/>
      <c r="B97" s="925"/>
      <c r="C97" s="925"/>
      <c r="D97" s="925"/>
      <c r="E97" s="925"/>
      <c r="F97" s="925"/>
      <c r="G97" s="925"/>
      <c r="H97" s="925"/>
      <c r="I97" s="925"/>
      <c r="J97" s="925"/>
      <c r="K97" s="925"/>
      <c r="L97" s="925"/>
      <c r="M97" s="925"/>
      <c r="N97" s="925"/>
      <c r="O97" s="925"/>
      <c r="P97" s="925"/>
    </row>
    <row r="98" spans="1:16" s="122" customFormat="1" ht="12.8" customHeight="1">
      <c r="B98" s="148"/>
    </row>
    <row r="99" spans="1:16" s="122" customFormat="1" ht="12.8" customHeight="1">
      <c r="B99" s="148"/>
    </row>
    <row r="100" spans="1:16" s="125" customFormat="1">
      <c r="B100" s="125" t="s">
        <v>8</v>
      </c>
      <c r="L100" s="157" t="str">
        <f>Koptame!B39</f>
        <v>Pārbaudīja:</v>
      </c>
      <c r="M100" s="157"/>
      <c r="N100" s="157"/>
      <c r="O100" s="157"/>
      <c r="P100" s="157"/>
    </row>
    <row r="101" spans="1:16" s="125" customFormat="1" ht="14.25" customHeight="1">
      <c r="C101" s="178" t="str">
        <f>Koptame!C34</f>
        <v>Arnis Gailītis</v>
      </c>
      <c r="L101" s="178"/>
      <c r="M101" s="922" t="str">
        <f>Koptame!C40</f>
        <v>Dzintra Cīrule</v>
      </c>
      <c r="N101" s="922"/>
      <c r="O101" s="157"/>
      <c r="P101" s="157"/>
    </row>
    <row r="102" spans="1:16" s="125" customFormat="1">
      <c r="C102" s="179" t="str">
        <f>Koptame!C35</f>
        <v>Sertifikāta Nr.20-5643</v>
      </c>
      <c r="L102" s="179"/>
      <c r="M102" s="923" t="str">
        <f>Koptame!C41</f>
        <v>Sertifikāta Nr.10-0363</v>
      </c>
      <c r="N102" s="923"/>
      <c r="O102" s="157"/>
      <c r="P102" s="157"/>
    </row>
    <row r="103" spans="1:16" s="125" customFormat="1" collapsed="1">
      <c r="B103" s="146"/>
      <c r="F103" s="146"/>
      <c r="G103" s="146"/>
    </row>
  </sheetData>
  <mergeCells count="17">
    <mergeCell ref="M101:N101"/>
    <mergeCell ref="M102:N102"/>
    <mergeCell ref="L11:P11"/>
    <mergeCell ref="A97:P97"/>
    <mergeCell ref="A96:P96"/>
    <mergeCell ref="A11:A12"/>
    <mergeCell ref="B11:B12"/>
    <mergeCell ref="C11:C12"/>
    <mergeCell ref="D11:D12"/>
    <mergeCell ref="C93:K93"/>
    <mergeCell ref="E11:E12"/>
    <mergeCell ref="F11:K11"/>
    <mergeCell ref="A2:P2"/>
    <mergeCell ref="L9:O9"/>
    <mergeCell ref="D3:P3"/>
    <mergeCell ref="D4:P4"/>
    <mergeCell ref="D5:P5"/>
  </mergeCells>
  <printOptions horizontalCentered="1"/>
  <pageMargins left="0.27559055118110237" right="0.27559055118110237" top="0.74803149606299213" bottom="0.74803149606299213" header="0.31496062992125984" footer="0.31496062992125984"/>
  <pageSetup paperSize="9" scale="72"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expression" priority="41" stopIfTrue="1" id="{537AF011-2CFA-41C7-8D14-00BF3DEDAE6D}">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I90</xm:sqref>
        </x14:conditionalFormatting>
        <x14:conditionalFormatting xmlns:xm="http://schemas.microsoft.com/office/excel/2006/main">
          <x14:cfRule type="expression" priority="37" id="{A1BB1FAB-AE37-4BEE-890B-59F8771B37A2}">
            <xm:f>'C:\Dropbox (Personal)\1MANI DOCUMENTI\2017_8augusts\1KAS_JAPILDA2017\2_DARBS_2016\[IZMAKSAS_2017.8(12,08,2017).xlsx]VCD-privatmaja'!#REF!&gt;0</xm:f>
            <x14:dxf>
              <fill>
                <patternFill>
                  <bgColor rgb="FFFF0000"/>
                </patternFill>
              </fill>
            </x14:dxf>
          </x14:cfRule>
          <x14:cfRule type="expression" priority="38" id="{6509D0DA-3B4B-4ABA-AF68-241B5277E703}">
            <xm:f>'C:\Dropbox (Personal)\1MANI DOCUMENTI\2017_8augusts\1KAS_JAPILDA2017\2_DARBS_2016\[IZMAKSAS_2017.8(12,08,2017).xlsx]VCD-privatmaja'!#REF!=3</xm:f>
            <x14:dxf>
              <fill>
                <patternFill>
                  <bgColor rgb="FFFF0000"/>
                </patternFill>
              </fill>
            </x14:dxf>
          </x14:cfRule>
          <x14:cfRule type="expression" priority="39" id="{7E9F5B2C-399E-4014-BE22-F9BC81EC36CD}">
            <xm:f>'C:\Dropbox (Personal)\1MANI DOCUMENTI\2017_8augusts\1KAS_JAPILDA2017\2_DARBS_2016\[IZMAKSAS_2017.8(12,08,2017).xlsx]VCD-privatmaja'!#REF!=2</xm:f>
            <x14:dxf>
              <fill>
                <patternFill>
                  <bgColor theme="6" tint="0.39994506668294322"/>
                </patternFill>
              </fill>
            </x14:dxf>
          </x14:cfRule>
          <x14:cfRule type="expression" priority="40" id="{1A471D25-287F-4872-81ED-CB856C0F61A4}">
            <xm:f>'C:\Dropbox (Personal)\1MANI DOCUMENTI\2017_8augusts\1KAS_JAPILDA2017\2_DARBS_2016\[IZMAKSAS_2017.8(12,08,2017).xlsx]VCD-privatmaja'!#REF!=1</xm:f>
            <x14:dxf>
              <fill>
                <patternFill>
                  <bgColor rgb="FFFFC000"/>
                </patternFill>
              </fill>
            </x14:dxf>
          </x14:cfRule>
          <xm:sqref>I90</xm:sqref>
        </x14:conditionalFormatting>
        <x14:conditionalFormatting xmlns:xm="http://schemas.microsoft.com/office/excel/2006/main">
          <x14:cfRule type="expression" priority="42" stopIfTrue="1" id="{17AA73F4-8B26-4216-B201-2EA5B150EAFF}">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I90</xm:sqref>
        </x14:conditionalFormatting>
        <x14:conditionalFormatting xmlns:xm="http://schemas.microsoft.com/office/excel/2006/main">
          <x14:cfRule type="expression" priority="35" stopIfTrue="1" id="{EA6241CA-C243-4DC7-94FF-7CEB6855450F}">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I91</xm:sqref>
        </x14:conditionalFormatting>
        <x14:conditionalFormatting xmlns:xm="http://schemas.microsoft.com/office/excel/2006/main">
          <x14:cfRule type="expression" priority="31" id="{07C8FC1F-D5BB-4F94-8290-EB8F934AAFEB}">
            <xm:f>'C:\Dropbox (Personal)\1MANI DOCUMENTI\2017_8augusts\1KAS_JAPILDA2017\2_DARBS_2016\[IZMAKSAS_2017.8(12,08,2017).xlsx]VCD-privatmaja'!#REF!&gt;0</xm:f>
            <x14:dxf>
              <fill>
                <patternFill>
                  <bgColor rgb="FFFF0000"/>
                </patternFill>
              </fill>
            </x14:dxf>
          </x14:cfRule>
          <x14:cfRule type="expression" priority="32" id="{4C996097-557F-4949-86B9-60226523C1B0}">
            <xm:f>'C:\Dropbox (Personal)\1MANI DOCUMENTI\2017_8augusts\1KAS_JAPILDA2017\2_DARBS_2016\[IZMAKSAS_2017.8(12,08,2017).xlsx]VCD-privatmaja'!#REF!=3</xm:f>
            <x14:dxf>
              <fill>
                <patternFill>
                  <bgColor rgb="FFFF0000"/>
                </patternFill>
              </fill>
            </x14:dxf>
          </x14:cfRule>
          <x14:cfRule type="expression" priority="33" id="{F4C55CC6-1760-4592-B2AD-EC77FC0EF52D}">
            <xm:f>'C:\Dropbox (Personal)\1MANI DOCUMENTI\2017_8augusts\1KAS_JAPILDA2017\2_DARBS_2016\[IZMAKSAS_2017.8(12,08,2017).xlsx]VCD-privatmaja'!#REF!=2</xm:f>
            <x14:dxf>
              <fill>
                <patternFill>
                  <bgColor theme="6" tint="0.39994506668294322"/>
                </patternFill>
              </fill>
            </x14:dxf>
          </x14:cfRule>
          <x14:cfRule type="expression" priority="34" id="{53A0F47A-04FC-4D0D-A69D-67C5897CA13B}">
            <xm:f>'C:\Dropbox (Personal)\1MANI DOCUMENTI\2017_8augusts\1KAS_JAPILDA2017\2_DARBS_2016\[IZMAKSAS_2017.8(12,08,2017).xlsx]VCD-privatmaja'!#REF!=1</xm:f>
            <x14:dxf>
              <fill>
                <patternFill>
                  <bgColor rgb="FFFFC000"/>
                </patternFill>
              </fill>
            </x14:dxf>
          </x14:cfRule>
          <xm:sqref>I91</xm:sqref>
        </x14:conditionalFormatting>
        <x14:conditionalFormatting xmlns:xm="http://schemas.microsoft.com/office/excel/2006/main">
          <x14:cfRule type="expression" priority="36" stopIfTrue="1" id="{945B5CB7-8098-4DE6-982C-CF7C627A7ABD}">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I91</xm:sqref>
        </x14:conditionalFormatting>
        <x14:conditionalFormatting xmlns:xm="http://schemas.microsoft.com/office/excel/2006/main">
          <x14:cfRule type="expression" priority="29" stopIfTrue="1" id="{450A3F7F-8ABD-4DE7-8D8A-1AA6ABA859DB}">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I29</xm:sqref>
        </x14:conditionalFormatting>
        <x14:conditionalFormatting xmlns:xm="http://schemas.microsoft.com/office/excel/2006/main">
          <x14:cfRule type="expression" priority="25" id="{DB8FD79E-C57F-4ED6-A938-1A7A5EF3CC29}">
            <xm:f>'C:\Dropbox (Personal)\1MANI DOCUMENTI\2017_8augusts\1KAS_JAPILDA2017\2_DARBS_2016\[IZMAKSAS_2017.8(12,08,2017).xlsx]VCD-privatmaja'!#REF!&gt;0</xm:f>
            <x14:dxf>
              <fill>
                <patternFill>
                  <bgColor rgb="FFFF0000"/>
                </patternFill>
              </fill>
            </x14:dxf>
          </x14:cfRule>
          <x14:cfRule type="expression" priority="26" id="{0504A1FB-950B-49EE-A0E4-26F6843A3FDD}">
            <xm:f>'C:\Dropbox (Personal)\1MANI DOCUMENTI\2017_8augusts\1KAS_JAPILDA2017\2_DARBS_2016\[IZMAKSAS_2017.8(12,08,2017).xlsx]VCD-privatmaja'!#REF!=3</xm:f>
            <x14:dxf>
              <fill>
                <patternFill>
                  <bgColor rgb="FFFF0000"/>
                </patternFill>
              </fill>
            </x14:dxf>
          </x14:cfRule>
          <x14:cfRule type="expression" priority="27" id="{29C4EF46-98CC-43C1-859D-BB496CB259ED}">
            <xm:f>'C:\Dropbox (Personal)\1MANI DOCUMENTI\2017_8augusts\1KAS_JAPILDA2017\2_DARBS_2016\[IZMAKSAS_2017.8(12,08,2017).xlsx]VCD-privatmaja'!#REF!=2</xm:f>
            <x14:dxf>
              <fill>
                <patternFill>
                  <bgColor theme="6" tint="0.39994506668294322"/>
                </patternFill>
              </fill>
            </x14:dxf>
          </x14:cfRule>
          <x14:cfRule type="expression" priority="28" id="{3AAC438C-F282-440B-A413-CD72AC20D1FD}">
            <xm:f>'C:\Dropbox (Personal)\1MANI DOCUMENTI\2017_8augusts\1KAS_JAPILDA2017\2_DARBS_2016\[IZMAKSAS_2017.8(12,08,2017).xlsx]VCD-privatmaja'!#REF!=1</xm:f>
            <x14:dxf>
              <fill>
                <patternFill>
                  <bgColor rgb="FFFFC000"/>
                </patternFill>
              </fill>
            </x14:dxf>
          </x14:cfRule>
          <xm:sqref>I29</xm:sqref>
        </x14:conditionalFormatting>
        <x14:conditionalFormatting xmlns:xm="http://schemas.microsoft.com/office/excel/2006/main">
          <x14:cfRule type="expression" priority="30" stopIfTrue="1" id="{7B22162B-C949-49FA-9C69-EB59B24DBC54}">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I29</xm:sqref>
        </x14:conditionalFormatting>
        <x14:conditionalFormatting xmlns:xm="http://schemas.microsoft.com/office/excel/2006/main">
          <x14:cfRule type="expression" priority="17" stopIfTrue="1" id="{3D7D230F-AA66-42DA-BC42-8065D587FC5D}">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I51</xm:sqref>
        </x14:conditionalFormatting>
        <x14:conditionalFormatting xmlns:xm="http://schemas.microsoft.com/office/excel/2006/main">
          <x14:cfRule type="expression" priority="13" id="{16EDFE1E-3134-4D94-B48A-FAC2CB2FF52A}">
            <xm:f>'C:\Dropbox (Personal)\1MANI DOCUMENTI\2017_8augusts\1KAS_JAPILDA2017\2_DARBS_2016\[IZMAKSAS_2017.8(12,08,2017).xlsx]VCD-privatmaja'!#REF!&gt;0</xm:f>
            <x14:dxf>
              <fill>
                <patternFill>
                  <bgColor rgb="FFFF0000"/>
                </patternFill>
              </fill>
            </x14:dxf>
          </x14:cfRule>
          <x14:cfRule type="expression" priority="14" id="{395E949B-C847-48BA-AA55-06D5C17A257E}">
            <xm:f>'C:\Dropbox (Personal)\1MANI DOCUMENTI\2017_8augusts\1KAS_JAPILDA2017\2_DARBS_2016\[IZMAKSAS_2017.8(12,08,2017).xlsx]VCD-privatmaja'!#REF!=3</xm:f>
            <x14:dxf>
              <fill>
                <patternFill>
                  <bgColor rgb="FFFF0000"/>
                </patternFill>
              </fill>
            </x14:dxf>
          </x14:cfRule>
          <x14:cfRule type="expression" priority="15" id="{0728B5B4-A1F1-4326-999D-4ADE4ECE4DD3}">
            <xm:f>'C:\Dropbox (Personal)\1MANI DOCUMENTI\2017_8augusts\1KAS_JAPILDA2017\2_DARBS_2016\[IZMAKSAS_2017.8(12,08,2017).xlsx]VCD-privatmaja'!#REF!=2</xm:f>
            <x14:dxf>
              <fill>
                <patternFill>
                  <bgColor theme="6" tint="0.39994506668294322"/>
                </patternFill>
              </fill>
            </x14:dxf>
          </x14:cfRule>
          <x14:cfRule type="expression" priority="16" id="{48C70522-D03E-4510-847E-0089F004FF20}">
            <xm:f>'C:\Dropbox (Personal)\1MANI DOCUMENTI\2017_8augusts\1KAS_JAPILDA2017\2_DARBS_2016\[IZMAKSAS_2017.8(12,08,2017).xlsx]VCD-privatmaja'!#REF!=1</xm:f>
            <x14:dxf>
              <fill>
                <patternFill>
                  <bgColor rgb="FFFFC000"/>
                </patternFill>
              </fill>
            </x14:dxf>
          </x14:cfRule>
          <xm:sqref>I51</xm:sqref>
        </x14:conditionalFormatting>
        <x14:conditionalFormatting xmlns:xm="http://schemas.microsoft.com/office/excel/2006/main">
          <x14:cfRule type="expression" priority="18" stopIfTrue="1" id="{2E452670-FE33-4961-B96E-9D09222D323D}">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I51</xm:sqref>
        </x14:conditionalFormatting>
        <x14:conditionalFormatting xmlns:xm="http://schemas.microsoft.com/office/excel/2006/main">
          <x14:cfRule type="expression" priority="11" stopIfTrue="1" id="{7E73591B-AC21-4E47-81DB-1D864B8675BA}">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I70</xm:sqref>
        </x14:conditionalFormatting>
        <x14:conditionalFormatting xmlns:xm="http://schemas.microsoft.com/office/excel/2006/main">
          <x14:cfRule type="expression" priority="7" id="{17F6E720-1C03-4DCB-8FD3-21F2A23C05E2}">
            <xm:f>'C:\Dropbox (Personal)\1MANI DOCUMENTI\2017_8augusts\1KAS_JAPILDA2017\2_DARBS_2016\[IZMAKSAS_2017.8(12,08,2017).xlsx]VCD-privatmaja'!#REF!&gt;0</xm:f>
            <x14:dxf>
              <fill>
                <patternFill>
                  <bgColor rgb="FFFF0000"/>
                </patternFill>
              </fill>
            </x14:dxf>
          </x14:cfRule>
          <x14:cfRule type="expression" priority="8" id="{B2F178E0-21D1-4D60-B6FD-47A7EEB7C286}">
            <xm:f>'C:\Dropbox (Personal)\1MANI DOCUMENTI\2017_8augusts\1KAS_JAPILDA2017\2_DARBS_2016\[IZMAKSAS_2017.8(12,08,2017).xlsx]VCD-privatmaja'!#REF!=3</xm:f>
            <x14:dxf>
              <fill>
                <patternFill>
                  <bgColor rgb="FFFF0000"/>
                </patternFill>
              </fill>
            </x14:dxf>
          </x14:cfRule>
          <x14:cfRule type="expression" priority="9" id="{852A450F-1B26-49CD-BBDF-A2BB37B30856}">
            <xm:f>'C:\Dropbox (Personal)\1MANI DOCUMENTI\2017_8augusts\1KAS_JAPILDA2017\2_DARBS_2016\[IZMAKSAS_2017.8(12,08,2017).xlsx]VCD-privatmaja'!#REF!=2</xm:f>
            <x14:dxf>
              <fill>
                <patternFill>
                  <bgColor theme="6" tint="0.39994506668294322"/>
                </patternFill>
              </fill>
            </x14:dxf>
          </x14:cfRule>
          <x14:cfRule type="expression" priority="10" id="{D8A91AAD-4BE1-4E17-BD11-276BAF770590}">
            <xm:f>'C:\Dropbox (Personal)\1MANI DOCUMENTI\2017_8augusts\1KAS_JAPILDA2017\2_DARBS_2016\[IZMAKSAS_2017.8(12,08,2017).xlsx]VCD-privatmaja'!#REF!=1</xm:f>
            <x14:dxf>
              <fill>
                <patternFill>
                  <bgColor rgb="FFFFC000"/>
                </patternFill>
              </fill>
            </x14:dxf>
          </x14:cfRule>
          <xm:sqref>I70</xm:sqref>
        </x14:conditionalFormatting>
        <x14:conditionalFormatting xmlns:xm="http://schemas.microsoft.com/office/excel/2006/main">
          <x14:cfRule type="expression" priority="12" stopIfTrue="1" id="{6117EB2A-D875-4A82-AE06-E3190C88303D}">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I70</xm:sqref>
        </x14:conditionalFormatting>
        <x14:conditionalFormatting xmlns:xm="http://schemas.microsoft.com/office/excel/2006/main">
          <x14:cfRule type="expression" priority="5" stopIfTrue="1" id="{C92564B4-9CF0-4105-8FB8-8BD2E57A1527}">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I88</xm:sqref>
        </x14:conditionalFormatting>
        <x14:conditionalFormatting xmlns:xm="http://schemas.microsoft.com/office/excel/2006/main">
          <x14:cfRule type="expression" priority="1" id="{D720ACE4-3BF1-4FF2-842E-6858861D76B7}">
            <xm:f>'C:\Dropbox (Personal)\1MANI DOCUMENTI\2017_8augusts\1KAS_JAPILDA2017\2_DARBS_2016\[IZMAKSAS_2017.8(12,08,2017).xlsx]VCD-privatmaja'!#REF!&gt;0</xm:f>
            <x14:dxf>
              <fill>
                <patternFill>
                  <bgColor rgb="FFFF0000"/>
                </patternFill>
              </fill>
            </x14:dxf>
          </x14:cfRule>
          <x14:cfRule type="expression" priority="2" id="{46BB3659-DA9F-46D9-82FE-49CF06B99A6D}">
            <xm:f>'C:\Dropbox (Personal)\1MANI DOCUMENTI\2017_8augusts\1KAS_JAPILDA2017\2_DARBS_2016\[IZMAKSAS_2017.8(12,08,2017).xlsx]VCD-privatmaja'!#REF!=3</xm:f>
            <x14:dxf>
              <fill>
                <patternFill>
                  <bgColor rgb="FFFF0000"/>
                </patternFill>
              </fill>
            </x14:dxf>
          </x14:cfRule>
          <x14:cfRule type="expression" priority="3" id="{377569BD-59C5-49EB-A082-4E5449224536}">
            <xm:f>'C:\Dropbox (Personal)\1MANI DOCUMENTI\2017_8augusts\1KAS_JAPILDA2017\2_DARBS_2016\[IZMAKSAS_2017.8(12,08,2017).xlsx]VCD-privatmaja'!#REF!=2</xm:f>
            <x14:dxf>
              <fill>
                <patternFill>
                  <bgColor theme="6" tint="0.39994506668294322"/>
                </patternFill>
              </fill>
            </x14:dxf>
          </x14:cfRule>
          <x14:cfRule type="expression" priority="4" id="{8D1649F0-5DFE-4341-9282-7A18F123A9B4}">
            <xm:f>'C:\Dropbox (Personal)\1MANI DOCUMENTI\2017_8augusts\1KAS_JAPILDA2017\2_DARBS_2016\[IZMAKSAS_2017.8(12,08,2017).xlsx]VCD-privatmaja'!#REF!=1</xm:f>
            <x14:dxf>
              <fill>
                <patternFill>
                  <bgColor rgb="FFFFC000"/>
                </patternFill>
              </fill>
            </x14:dxf>
          </x14:cfRule>
          <xm:sqref>I88</xm:sqref>
        </x14:conditionalFormatting>
        <x14:conditionalFormatting xmlns:xm="http://schemas.microsoft.com/office/excel/2006/main">
          <x14:cfRule type="expression" priority="6" stopIfTrue="1" id="{6D27F9D1-FD2D-4AF8-9A10-ABDA6A6DF30F}">
            <xm:f>'C:\Dropbox (Personal)\1MANI DOCUMENTI\2017_8augusts\1KAS_JAPILDA2017\2_DARBS_2016\[IZMAKSAS_2017.8(12,08,2017).xlsx]VCD-privatmaja'!#REF!='C:\Dropbox (Personal)\1MANI DOCUMENTI\2017_8augusts\1KAS_JAPILDA2017\2_DARBS_2016\[IZMAKSAS_2017.8(12,08,2017).xlsx]VCD-privatmaja'!#REF!=FALSE</xm:f>
            <x14:dxf>
              <fill>
                <patternFill>
                  <bgColor theme="5" tint="0.39994506668294322"/>
                </patternFill>
              </fill>
            </x14:dxf>
          </x14:cfRule>
          <xm:sqref>I88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84"/>
  <sheetViews>
    <sheetView showZeros="0" view="pageBreakPreview" topLeftCell="A67" zoomScaleNormal="100" zoomScaleSheetLayoutView="100" workbookViewId="0">
      <selection activeCell="I24" sqref="I24"/>
    </sheetView>
  </sheetViews>
  <sheetFormatPr defaultColWidth="9.125" defaultRowHeight="14.4"/>
  <cols>
    <col min="1" max="1" width="9" style="19" customWidth="1"/>
    <col min="2" max="2" width="9.375" style="19" customWidth="1"/>
    <col min="3" max="3" width="40.25" style="19" customWidth="1"/>
    <col min="4" max="4" width="8.125" style="19" customWidth="1"/>
    <col min="5" max="11" width="9.125" style="19"/>
    <col min="12" max="12" width="11.625" style="19" customWidth="1"/>
    <col min="13" max="13" width="14.5" style="19" customWidth="1"/>
    <col min="14" max="14" width="12.75" style="19" customWidth="1"/>
    <col min="15" max="15" width="11.625" style="19" customWidth="1"/>
    <col min="16" max="16" width="12.875" style="19" customWidth="1"/>
    <col min="17" max="16384" width="9.125" style="19"/>
  </cols>
  <sheetData>
    <row r="1" spans="1:16" s="24" customFormat="1">
      <c r="E1" s="21"/>
      <c r="F1" s="21"/>
      <c r="G1" s="181" t="s">
        <v>92</v>
      </c>
      <c r="H1" s="110" t="str">
        <f>kops1!B27</f>
        <v>1,7</v>
      </c>
    </row>
    <row r="2" spans="1:16" s="24" customFormat="1">
      <c r="A2" s="919" t="str">
        <f>C13</f>
        <v>Grīdas</v>
      </c>
      <c r="B2" s="919"/>
      <c r="C2" s="919"/>
      <c r="D2" s="919"/>
      <c r="E2" s="919"/>
      <c r="F2" s="919"/>
      <c r="G2" s="919"/>
      <c r="H2" s="919"/>
      <c r="I2" s="919"/>
      <c r="J2" s="919"/>
      <c r="K2" s="919"/>
      <c r="L2" s="919"/>
      <c r="M2" s="919"/>
      <c r="N2" s="919"/>
      <c r="O2" s="919"/>
      <c r="P2" s="919"/>
    </row>
    <row r="3" spans="1:16">
      <c r="A3" s="20"/>
      <c r="B3" s="20"/>
      <c r="C3" s="20" t="s">
        <v>11</v>
      </c>
      <c r="D3" s="921" t="str">
        <f>Koptame!C11</f>
        <v>Ražošanas ēka</v>
      </c>
      <c r="E3" s="921"/>
      <c r="F3" s="921"/>
      <c r="G3" s="921"/>
      <c r="H3" s="921"/>
      <c r="I3" s="921"/>
      <c r="J3" s="921"/>
      <c r="K3" s="921"/>
      <c r="L3" s="921"/>
      <c r="M3" s="921"/>
      <c r="N3" s="921"/>
      <c r="O3" s="921"/>
      <c r="P3" s="921"/>
    </row>
    <row r="4" spans="1:16">
      <c r="A4" s="20"/>
      <c r="B4" s="20"/>
      <c r="C4" s="20" t="s">
        <v>12</v>
      </c>
      <c r="D4" s="921" t="str">
        <f>Koptame!C12</f>
        <v>Ražošanas ēkas Nr.7 jaunbūve</v>
      </c>
      <c r="E4" s="921"/>
      <c r="F4" s="921"/>
      <c r="G4" s="921"/>
      <c r="H4" s="921"/>
      <c r="I4" s="921"/>
      <c r="J4" s="921"/>
      <c r="K4" s="921"/>
      <c r="L4" s="921"/>
      <c r="M4" s="921"/>
      <c r="N4" s="921"/>
      <c r="O4" s="921"/>
      <c r="P4" s="921"/>
    </row>
    <row r="5" spans="1:16">
      <c r="A5" s="20"/>
      <c r="B5" s="20"/>
      <c r="C5" s="20" t="s">
        <v>13</v>
      </c>
      <c r="D5" s="921" t="str">
        <f>Koptame!C13</f>
        <v>Ventspils, Ventspils Augsto tehnoloģiju parks</v>
      </c>
      <c r="E5" s="921"/>
      <c r="F5" s="921"/>
      <c r="G5" s="921"/>
      <c r="H5" s="921"/>
      <c r="I5" s="921"/>
      <c r="J5" s="921"/>
      <c r="K5" s="921"/>
      <c r="L5" s="921"/>
      <c r="M5" s="921"/>
      <c r="N5" s="921"/>
      <c r="O5" s="921"/>
      <c r="P5" s="921"/>
    </row>
    <row r="6" spans="1:16">
      <c r="A6" s="20"/>
      <c r="B6" s="20"/>
      <c r="C6" s="20" t="str">
        <f>Koptame!B14</f>
        <v>Pasūtījuma Nr.</v>
      </c>
      <c r="D6" s="22" t="str">
        <f>Koptame!C14</f>
        <v>2016-04</v>
      </c>
      <c r="E6" s="43"/>
      <c r="F6" s="43"/>
      <c r="G6" s="43"/>
      <c r="H6" s="43"/>
      <c r="I6" s="43"/>
      <c r="J6" s="43"/>
      <c r="K6" s="43"/>
      <c r="L6" s="43"/>
      <c r="M6" s="43"/>
      <c r="N6" s="43"/>
      <c r="O6" s="43"/>
      <c r="P6" s="25"/>
    </row>
    <row r="7" spans="1:16">
      <c r="A7" s="3" t="str">
        <f>Koptame!B17</f>
        <v>Tāme sastādīta 2018.gada tirgus cenās, pamatojoties uz SIA „Baltex Group” būvprojekta rasējumiem un darbu apjomiem</v>
      </c>
      <c r="B7" s="46"/>
      <c r="D7" s="22"/>
      <c r="E7" s="22"/>
      <c r="F7" s="22"/>
      <c r="G7" s="22"/>
      <c r="H7" s="22"/>
      <c r="I7" s="22"/>
      <c r="J7" s="22"/>
      <c r="K7" s="43"/>
      <c r="L7" s="43"/>
      <c r="M7" s="43"/>
      <c r="N7" s="43"/>
      <c r="O7" s="20" t="s">
        <v>87</v>
      </c>
      <c r="P7" s="26">
        <f>P74</f>
        <v>467867.68000000017</v>
      </c>
    </row>
    <row r="8" spans="1:16">
      <c r="A8" s="23"/>
      <c r="B8" s="23"/>
      <c r="D8" s="27"/>
      <c r="E8" s="43"/>
      <c r="F8" s="43"/>
      <c r="G8" s="43"/>
      <c r="H8" s="43"/>
      <c r="I8" s="43"/>
      <c r="J8" s="43"/>
      <c r="K8" s="43"/>
      <c r="N8" s="43"/>
      <c r="O8" s="43"/>
      <c r="P8" s="25"/>
    </row>
    <row r="9" spans="1:16" ht="15.05" customHeight="1">
      <c r="A9" s="45"/>
      <c r="B9" s="45"/>
      <c r="J9" s="44"/>
      <c r="K9" s="44"/>
      <c r="L9" s="920" t="str">
        <f>Koptame!D16</f>
        <v>Tāme sastādīta:  2018.gada 19. februāris</v>
      </c>
      <c r="M9" s="920"/>
      <c r="N9" s="920"/>
      <c r="O9" s="920"/>
      <c r="P9" s="44"/>
    </row>
    <row r="10" spans="1:16" ht="15.05">
      <c r="A10" s="45"/>
      <c r="B10" s="45"/>
    </row>
    <row r="11" spans="1:16" ht="14.25" customHeight="1">
      <c r="A11" s="927" t="s">
        <v>15</v>
      </c>
      <c r="B11" s="934" t="s">
        <v>21</v>
      </c>
      <c r="C11" s="930" t="s">
        <v>97</v>
      </c>
      <c r="D11" s="931" t="s">
        <v>22</v>
      </c>
      <c r="E11" s="927" t="s">
        <v>23</v>
      </c>
      <c r="F11" s="924" t="s">
        <v>24</v>
      </c>
      <c r="G11" s="924"/>
      <c r="H11" s="924"/>
      <c r="I11" s="924"/>
      <c r="J11" s="924"/>
      <c r="K11" s="924"/>
      <c r="L11" s="924" t="s">
        <v>25</v>
      </c>
      <c r="M11" s="924"/>
      <c r="N11" s="924"/>
      <c r="O11" s="924"/>
      <c r="P11" s="924"/>
    </row>
    <row r="12" spans="1:16" ht="64" customHeight="1">
      <c r="A12" s="927"/>
      <c r="B12" s="935"/>
      <c r="C12" s="930"/>
      <c r="D12" s="931"/>
      <c r="E12" s="927"/>
      <c r="F12" s="159" t="s">
        <v>26</v>
      </c>
      <c r="G12" s="159" t="s">
        <v>58</v>
      </c>
      <c r="H12" s="159" t="s">
        <v>59</v>
      </c>
      <c r="I12" s="159" t="s">
        <v>95</v>
      </c>
      <c r="J12" s="159" t="s">
        <v>60</v>
      </c>
      <c r="K12" s="159" t="s">
        <v>61</v>
      </c>
      <c r="L12" s="159" t="s">
        <v>18</v>
      </c>
      <c r="M12" s="159" t="s">
        <v>59</v>
      </c>
      <c r="N12" s="159" t="s">
        <v>95</v>
      </c>
      <c r="O12" s="159" t="s">
        <v>60</v>
      </c>
      <c r="P12" s="159" t="s">
        <v>62</v>
      </c>
    </row>
    <row r="13" spans="1:16" ht="15.05">
      <c r="A13" s="28">
        <v>0</v>
      </c>
      <c r="B13" s="33"/>
      <c r="C13" s="13" t="str">
        <f>kops1!C27</f>
        <v>Grīdas</v>
      </c>
      <c r="D13" s="15"/>
      <c r="E13" s="29"/>
      <c r="F13" s="30"/>
      <c r="G13" s="30"/>
      <c r="H13" s="31">
        <f t="shared" ref="H13" si="0">ROUND(G13*F13,2)</f>
        <v>0</v>
      </c>
      <c r="I13" s="29"/>
      <c r="J13" s="29"/>
      <c r="K13" s="29">
        <f t="shared" ref="K13" si="1">SUM(H13:J13)</f>
        <v>0</v>
      </c>
      <c r="L13" s="30">
        <f t="shared" ref="L13" si="2">ROUND(F13*E13,2)</f>
        <v>0</v>
      </c>
      <c r="M13" s="29">
        <f t="shared" ref="M13" si="3">ROUND(H13*E13,2)</f>
        <v>0</v>
      </c>
      <c r="N13" s="29">
        <f t="shared" ref="N13" si="4">ROUND(I13*E13,2)</f>
        <v>0</v>
      </c>
      <c r="O13" s="29">
        <f t="shared" ref="O13" si="5">ROUND(J13*E13,2)</f>
        <v>0</v>
      </c>
      <c r="P13" s="32">
        <f t="shared" ref="P13" si="6">SUM(M13:O13)</f>
        <v>0</v>
      </c>
    </row>
    <row r="14" spans="1:16" s="56" customFormat="1" ht="15.05">
      <c r="A14" s="470">
        <v>0</v>
      </c>
      <c r="B14" s="471"/>
      <c r="C14" s="472" t="s">
        <v>1266</v>
      </c>
      <c r="D14" s="471"/>
      <c r="E14" s="473"/>
      <c r="F14" s="462"/>
      <c r="G14" s="463"/>
      <c r="H14" s="455"/>
      <c r="I14" s="464"/>
      <c r="J14" s="464"/>
      <c r="K14" s="102">
        <f>SUM(H14:J14)</f>
        <v>0</v>
      </c>
      <c r="L14" s="50">
        <f>ROUND(F14*E14,2)</f>
        <v>0</v>
      </c>
      <c r="M14" s="102">
        <f>ROUND(H14*E14,2)</f>
        <v>0</v>
      </c>
      <c r="N14" s="102">
        <f>ROUND(I14*E14,2)</f>
        <v>0</v>
      </c>
      <c r="O14" s="102">
        <f>ROUND(J14*E14,2)</f>
        <v>0</v>
      </c>
      <c r="P14" s="103">
        <f>SUM(M14:O14)</f>
        <v>0</v>
      </c>
    </row>
    <row r="15" spans="1:16" s="607" customFormat="1" ht="24.9">
      <c r="A15" s="474">
        <v>1</v>
      </c>
      <c r="B15" s="604"/>
      <c r="C15" s="605" t="s">
        <v>1449</v>
      </c>
      <c r="D15" s="606" t="s">
        <v>884</v>
      </c>
      <c r="E15" s="467">
        <v>189</v>
      </c>
      <c r="F15" s="462">
        <v>0.7</v>
      </c>
      <c r="G15" s="463">
        <v>9.5</v>
      </c>
      <c r="H15" s="455">
        <f t="shared" ref="H15:H21" si="7">ROUND(F15*G15,2)</f>
        <v>6.65</v>
      </c>
      <c r="I15" s="464">
        <v>26.45</v>
      </c>
      <c r="J15" s="464">
        <v>1.6</v>
      </c>
      <c r="K15" s="102">
        <f t="shared" ref="K15" si="8">SUM(H15:J15)</f>
        <v>34.700000000000003</v>
      </c>
      <c r="L15" s="50">
        <f t="shared" ref="L15:L21" si="9">ROUND(F15*E15,2)</f>
        <v>132.30000000000001</v>
      </c>
      <c r="M15" s="102">
        <f t="shared" ref="M15:M21" si="10">ROUND(H15*E15,2)</f>
        <v>1256.8499999999999</v>
      </c>
      <c r="N15" s="102">
        <f t="shared" ref="N15:N21" si="11">ROUND(I15*E15,2)</f>
        <v>4999.05</v>
      </c>
      <c r="O15" s="102">
        <f t="shared" ref="O15:O21" si="12">ROUND(J15*E15,2)</f>
        <v>302.39999999999998</v>
      </c>
      <c r="P15" s="103">
        <f t="shared" ref="P15:P21" si="13">SUM(M15:O15)</f>
        <v>6558.2999999999993</v>
      </c>
    </row>
    <row r="16" spans="1:16" s="607" customFormat="1" ht="24.9">
      <c r="A16" s="474">
        <v>2</v>
      </c>
      <c r="B16" s="604"/>
      <c r="C16" s="608" t="s">
        <v>1450</v>
      </c>
      <c r="D16" s="606" t="s">
        <v>884</v>
      </c>
      <c r="E16" s="467">
        <v>755</v>
      </c>
      <c r="F16" s="462">
        <v>0.7</v>
      </c>
      <c r="G16" s="463">
        <v>9.5</v>
      </c>
      <c r="H16" s="455">
        <f t="shared" si="7"/>
        <v>6.65</v>
      </c>
      <c r="I16" s="464">
        <v>26.45</v>
      </c>
      <c r="J16" s="464">
        <v>1.6</v>
      </c>
      <c r="K16" s="102">
        <f t="shared" ref="K16:K17" si="14">SUM(H16:J16)</f>
        <v>34.700000000000003</v>
      </c>
      <c r="L16" s="50">
        <f t="shared" si="9"/>
        <v>528.5</v>
      </c>
      <c r="M16" s="102">
        <f t="shared" si="10"/>
        <v>5020.75</v>
      </c>
      <c r="N16" s="102">
        <f t="shared" si="11"/>
        <v>19969.75</v>
      </c>
      <c r="O16" s="102">
        <f t="shared" si="12"/>
        <v>1208</v>
      </c>
      <c r="P16" s="103">
        <f t="shared" si="13"/>
        <v>26198.5</v>
      </c>
    </row>
    <row r="17" spans="1:16" s="607" customFormat="1" ht="24.9">
      <c r="A17" s="474">
        <v>3</v>
      </c>
      <c r="B17" s="604"/>
      <c r="C17" s="608" t="s">
        <v>1451</v>
      </c>
      <c r="D17" s="606" t="s">
        <v>884</v>
      </c>
      <c r="E17" s="467">
        <v>1510</v>
      </c>
      <c r="F17" s="462">
        <v>0.7</v>
      </c>
      <c r="G17" s="463">
        <v>9.5</v>
      </c>
      <c r="H17" s="455">
        <f t="shared" si="7"/>
        <v>6.65</v>
      </c>
      <c r="I17" s="464">
        <v>26.45</v>
      </c>
      <c r="J17" s="464">
        <v>1.6</v>
      </c>
      <c r="K17" s="102">
        <f t="shared" si="14"/>
        <v>34.700000000000003</v>
      </c>
      <c r="L17" s="50">
        <f t="shared" si="9"/>
        <v>1057</v>
      </c>
      <c r="M17" s="102">
        <f t="shared" si="10"/>
        <v>10041.5</v>
      </c>
      <c r="N17" s="102">
        <f t="shared" si="11"/>
        <v>39939.5</v>
      </c>
      <c r="O17" s="102">
        <f t="shared" si="12"/>
        <v>2416</v>
      </c>
      <c r="P17" s="103">
        <f t="shared" si="13"/>
        <v>52397</v>
      </c>
    </row>
    <row r="18" spans="1:16" s="607" customFormat="1" ht="24.9">
      <c r="A18" s="474">
        <v>4</v>
      </c>
      <c r="B18" s="458"/>
      <c r="C18" s="608" t="s">
        <v>1452</v>
      </c>
      <c r="D18" s="609" t="s">
        <v>884</v>
      </c>
      <c r="E18" s="632">
        <v>1510</v>
      </c>
      <c r="F18" s="462">
        <v>0.2</v>
      </c>
      <c r="G18" s="463">
        <v>8.5</v>
      </c>
      <c r="H18" s="610">
        <f t="shared" si="7"/>
        <v>1.7</v>
      </c>
      <c r="I18" s="464">
        <f>6.3*1.1</f>
        <v>6.9300000000000006</v>
      </c>
      <c r="J18" s="464">
        <v>2</v>
      </c>
      <c r="K18" s="102">
        <f t="shared" ref="K18" si="15">SUM(H18:J18)</f>
        <v>10.63</v>
      </c>
      <c r="L18" s="50">
        <f t="shared" si="9"/>
        <v>302</v>
      </c>
      <c r="M18" s="102">
        <f t="shared" si="10"/>
        <v>2567</v>
      </c>
      <c r="N18" s="102">
        <f t="shared" si="11"/>
        <v>10464.299999999999</v>
      </c>
      <c r="O18" s="102">
        <f t="shared" si="12"/>
        <v>3020</v>
      </c>
      <c r="P18" s="103">
        <f t="shared" si="13"/>
        <v>16051.3</v>
      </c>
    </row>
    <row r="19" spans="1:16" s="607" customFormat="1" ht="12.45">
      <c r="A19" s="474">
        <v>5</v>
      </c>
      <c r="B19" s="611"/>
      <c r="C19" s="612" t="s">
        <v>1453</v>
      </c>
      <c r="D19" s="611" t="s">
        <v>406</v>
      </c>
      <c r="E19" s="633">
        <v>3775</v>
      </c>
      <c r="F19" s="435">
        <f>0.9*0.04</f>
        <v>3.6000000000000004E-2</v>
      </c>
      <c r="G19" s="435">
        <v>9.5</v>
      </c>
      <c r="H19" s="613">
        <f t="shared" si="7"/>
        <v>0.34</v>
      </c>
      <c r="I19" s="448">
        <v>3.45</v>
      </c>
      <c r="J19" s="448">
        <f>3*0.04</f>
        <v>0.12</v>
      </c>
      <c r="K19" s="222">
        <f t="shared" ref="K19:K20" si="16">SUM(H19:J19)</f>
        <v>3.91</v>
      </c>
      <c r="L19" s="223">
        <f t="shared" si="9"/>
        <v>135.9</v>
      </c>
      <c r="M19" s="222">
        <f t="shared" si="10"/>
        <v>1283.5</v>
      </c>
      <c r="N19" s="222">
        <f t="shared" si="11"/>
        <v>13023.75</v>
      </c>
      <c r="O19" s="222">
        <f t="shared" si="12"/>
        <v>453</v>
      </c>
      <c r="P19" s="250">
        <f t="shared" si="13"/>
        <v>14760.25</v>
      </c>
    </row>
    <row r="20" spans="1:16" s="607" customFormat="1" ht="12.45">
      <c r="A20" s="474">
        <v>6</v>
      </c>
      <c r="B20" s="611"/>
      <c r="C20" s="612" t="s">
        <v>1454</v>
      </c>
      <c r="D20" s="611" t="s">
        <v>406</v>
      </c>
      <c r="E20" s="633">
        <v>3775</v>
      </c>
      <c r="F20" s="435">
        <f>0.9*0.04</f>
        <v>3.6000000000000004E-2</v>
      </c>
      <c r="G20" s="435">
        <v>9.5</v>
      </c>
      <c r="H20" s="613">
        <f t="shared" si="7"/>
        <v>0.34</v>
      </c>
      <c r="I20" s="448">
        <v>0.77</v>
      </c>
      <c r="J20" s="448">
        <f>3*0.04</f>
        <v>0.12</v>
      </c>
      <c r="K20" s="222">
        <f t="shared" si="16"/>
        <v>1.23</v>
      </c>
      <c r="L20" s="223">
        <f t="shared" si="9"/>
        <v>135.9</v>
      </c>
      <c r="M20" s="222">
        <f t="shared" si="10"/>
        <v>1283.5</v>
      </c>
      <c r="N20" s="222">
        <f t="shared" si="11"/>
        <v>2906.75</v>
      </c>
      <c r="O20" s="222">
        <f t="shared" si="12"/>
        <v>453</v>
      </c>
      <c r="P20" s="250">
        <f t="shared" si="13"/>
        <v>4643.25</v>
      </c>
    </row>
    <row r="21" spans="1:16" s="607" customFormat="1" ht="12.45">
      <c r="A21" s="474">
        <v>9</v>
      </c>
      <c r="B21" s="614"/>
      <c r="C21" s="615" t="s">
        <v>1455</v>
      </c>
      <c r="D21" s="616" t="s">
        <v>29</v>
      </c>
      <c r="E21" s="634">
        <v>3775</v>
      </c>
      <c r="F21" s="617">
        <v>1</v>
      </c>
      <c r="G21" s="618">
        <v>9.5</v>
      </c>
      <c r="H21" s="619">
        <f t="shared" si="7"/>
        <v>9.5</v>
      </c>
      <c r="I21" s="617">
        <v>16.600000000000001</v>
      </c>
      <c r="J21" s="617">
        <v>2.5</v>
      </c>
      <c r="K21" s="617">
        <f t="shared" ref="K21" si="17">SUM(H21:J21)</f>
        <v>28.6</v>
      </c>
      <c r="L21" s="617">
        <f t="shared" si="9"/>
        <v>3775</v>
      </c>
      <c r="M21" s="617">
        <f t="shared" si="10"/>
        <v>35862.5</v>
      </c>
      <c r="N21" s="617">
        <f t="shared" si="11"/>
        <v>62665</v>
      </c>
      <c r="O21" s="617">
        <f t="shared" si="12"/>
        <v>9437.5</v>
      </c>
      <c r="P21" s="620">
        <f t="shared" si="13"/>
        <v>107965</v>
      </c>
    </row>
    <row r="22" spans="1:16" s="56" customFormat="1" ht="15.05">
      <c r="A22" s="470">
        <v>0</v>
      </c>
      <c r="B22" s="471"/>
      <c r="C22" s="472" t="s">
        <v>1235</v>
      </c>
      <c r="D22" s="471"/>
      <c r="E22" s="473"/>
      <c r="F22" s="462"/>
      <c r="G22" s="463"/>
      <c r="H22" s="455"/>
      <c r="I22" s="464"/>
      <c r="J22" s="464"/>
      <c r="K22" s="102">
        <f t="shared" ref="K22:K72" si="18">SUM(H22:J22)</f>
        <v>0</v>
      </c>
      <c r="L22" s="50">
        <f t="shared" ref="L22:L72" si="19">ROUND(F22*E22,2)</f>
        <v>0</v>
      </c>
      <c r="M22" s="102">
        <f t="shared" ref="M22:M72" si="20">ROUND(H22*E22,2)</f>
        <v>0</v>
      </c>
      <c r="N22" s="102">
        <f t="shared" ref="N22:N72" si="21">ROUND(I22*E22,2)</f>
        <v>0</v>
      </c>
      <c r="O22" s="102">
        <f t="shared" ref="O22:O72" si="22">ROUND(J22*E22,2)</f>
        <v>0</v>
      </c>
      <c r="P22" s="103">
        <f t="shared" ref="P22:P72" si="23">SUM(M22:O22)</f>
        <v>0</v>
      </c>
    </row>
    <row r="23" spans="1:16" s="56" customFormat="1">
      <c r="A23" s="474">
        <v>5</v>
      </c>
      <c r="B23" s="499"/>
      <c r="C23" s="492" t="s">
        <v>1267</v>
      </c>
      <c r="D23" s="486" t="s">
        <v>29</v>
      </c>
      <c r="E23" s="487">
        <v>3850</v>
      </c>
      <c r="F23" s="462">
        <v>0.16</v>
      </c>
      <c r="G23" s="463">
        <v>9.5</v>
      </c>
      <c r="H23" s="455">
        <f>ROUND(F23*G23,2)</f>
        <v>1.52</v>
      </c>
      <c r="I23" s="464">
        <v>0</v>
      </c>
      <c r="J23" s="464">
        <v>0.15</v>
      </c>
      <c r="K23" s="102">
        <f t="shared" si="18"/>
        <v>1.67</v>
      </c>
      <c r="L23" s="50">
        <f t="shared" si="19"/>
        <v>616</v>
      </c>
      <c r="M23" s="102">
        <f t="shared" si="20"/>
        <v>5852</v>
      </c>
      <c r="N23" s="102">
        <f t="shared" si="21"/>
        <v>0</v>
      </c>
      <c r="O23" s="102">
        <f t="shared" si="22"/>
        <v>577.5</v>
      </c>
      <c r="P23" s="103">
        <f t="shared" si="23"/>
        <v>6429.5</v>
      </c>
    </row>
    <row r="24" spans="1:16" s="56" customFormat="1">
      <c r="A24" s="474">
        <v>0</v>
      </c>
      <c r="B24" s="499"/>
      <c r="C24" s="498" t="s">
        <v>1268</v>
      </c>
      <c r="D24" s="486" t="s">
        <v>29</v>
      </c>
      <c r="E24" s="487">
        <f>1.05*E23</f>
        <v>4042.5</v>
      </c>
      <c r="F24" s="462">
        <v>0</v>
      </c>
      <c r="G24" s="463">
        <v>0</v>
      </c>
      <c r="H24" s="455">
        <f>ROUND(F24*G24,2)</f>
        <v>0</v>
      </c>
      <c r="I24" s="623">
        <v>8.3000000000000007</v>
      </c>
      <c r="J24" s="464">
        <v>0</v>
      </c>
      <c r="K24" s="102">
        <f t="shared" si="18"/>
        <v>8.3000000000000007</v>
      </c>
      <c r="L24" s="50">
        <f t="shared" si="19"/>
        <v>0</v>
      </c>
      <c r="M24" s="102">
        <f t="shared" si="20"/>
        <v>0</v>
      </c>
      <c r="N24" s="102">
        <f t="shared" si="21"/>
        <v>33552.75</v>
      </c>
      <c r="O24" s="102">
        <f t="shared" si="22"/>
        <v>0</v>
      </c>
      <c r="P24" s="103">
        <f t="shared" si="23"/>
        <v>33552.75</v>
      </c>
    </row>
    <row r="25" spans="1:16" s="56" customFormat="1">
      <c r="A25" s="533">
        <v>6</v>
      </c>
      <c r="B25" s="534"/>
      <c r="C25" s="535" t="s">
        <v>1269</v>
      </c>
      <c r="D25" s="536" t="s">
        <v>29</v>
      </c>
      <c r="E25" s="537">
        <v>3850</v>
      </c>
      <c r="F25" s="462">
        <v>0.05</v>
      </c>
      <c r="G25" s="463">
        <v>9.5</v>
      </c>
      <c r="H25" s="455">
        <f t="shared" ref="H25:H72" si="24">ROUND(F25*G25,2)</f>
        <v>0.48</v>
      </c>
      <c r="I25" s="464">
        <v>0.62</v>
      </c>
      <c r="J25" s="464">
        <v>0</v>
      </c>
      <c r="K25" s="102">
        <f t="shared" si="18"/>
        <v>1.1000000000000001</v>
      </c>
      <c r="L25" s="50">
        <f t="shared" si="19"/>
        <v>192.5</v>
      </c>
      <c r="M25" s="102">
        <f t="shared" si="20"/>
        <v>1848</v>
      </c>
      <c r="N25" s="102">
        <f t="shared" si="21"/>
        <v>2387</v>
      </c>
      <c r="O25" s="102">
        <f t="shared" si="22"/>
        <v>0</v>
      </c>
      <c r="P25" s="103">
        <f t="shared" si="23"/>
        <v>4235</v>
      </c>
    </row>
    <row r="26" spans="1:16" s="56" customFormat="1" ht="24.9">
      <c r="A26" s="474">
        <v>7</v>
      </c>
      <c r="B26" s="538"/>
      <c r="C26" s="539" t="s">
        <v>1270</v>
      </c>
      <c r="D26" s="540" t="s">
        <v>111</v>
      </c>
      <c r="E26" s="433">
        <v>400</v>
      </c>
      <c r="F26" s="462">
        <f>0.25*0.4</f>
        <v>0.1</v>
      </c>
      <c r="G26" s="463">
        <v>9.5</v>
      </c>
      <c r="H26" s="455">
        <f t="shared" si="24"/>
        <v>0.95</v>
      </c>
      <c r="I26" s="464">
        <v>0.73</v>
      </c>
      <c r="J26" s="464">
        <v>0.1</v>
      </c>
      <c r="K26" s="102">
        <f t="shared" si="18"/>
        <v>1.78</v>
      </c>
      <c r="L26" s="50">
        <f t="shared" si="19"/>
        <v>40</v>
      </c>
      <c r="M26" s="102">
        <f t="shared" si="20"/>
        <v>380</v>
      </c>
      <c r="N26" s="102">
        <f t="shared" si="21"/>
        <v>292</v>
      </c>
      <c r="O26" s="102">
        <f t="shared" si="22"/>
        <v>40</v>
      </c>
      <c r="P26" s="103">
        <f t="shared" si="23"/>
        <v>712</v>
      </c>
    </row>
    <row r="27" spans="1:16" s="56" customFormat="1">
      <c r="A27" s="474">
        <v>0</v>
      </c>
      <c r="B27" s="115"/>
      <c r="C27" s="541" t="s">
        <v>1271</v>
      </c>
      <c r="D27" s="433"/>
      <c r="E27" s="487"/>
      <c r="F27" s="462">
        <v>0</v>
      </c>
      <c r="G27" s="463">
        <v>0</v>
      </c>
      <c r="H27" s="455">
        <f t="shared" si="24"/>
        <v>0</v>
      </c>
      <c r="I27" s="464"/>
      <c r="J27" s="464"/>
      <c r="K27" s="102">
        <f t="shared" si="18"/>
        <v>0</v>
      </c>
      <c r="L27" s="50">
        <f t="shared" si="19"/>
        <v>0</v>
      </c>
      <c r="M27" s="102">
        <f t="shared" si="20"/>
        <v>0</v>
      </c>
      <c r="N27" s="102">
        <f t="shared" si="21"/>
        <v>0</v>
      </c>
      <c r="O27" s="102">
        <f t="shared" si="22"/>
        <v>0</v>
      </c>
      <c r="P27" s="103">
        <f t="shared" si="23"/>
        <v>0</v>
      </c>
    </row>
    <row r="28" spans="1:16" s="56" customFormat="1">
      <c r="A28" s="533">
        <v>8</v>
      </c>
      <c r="B28" s="534"/>
      <c r="C28" s="542" t="s">
        <v>1267</v>
      </c>
      <c r="D28" s="536" t="s">
        <v>29</v>
      </c>
      <c r="E28" s="537">
        <v>807</v>
      </c>
      <c r="F28" s="462">
        <v>0.15</v>
      </c>
      <c r="G28" s="463">
        <v>9.5</v>
      </c>
      <c r="H28" s="455">
        <f t="shared" si="24"/>
        <v>1.43</v>
      </c>
      <c r="I28" s="464">
        <v>0</v>
      </c>
      <c r="J28" s="464">
        <v>0.15</v>
      </c>
      <c r="K28" s="102">
        <f t="shared" si="18"/>
        <v>1.5799999999999998</v>
      </c>
      <c r="L28" s="50">
        <f t="shared" si="19"/>
        <v>121.05</v>
      </c>
      <c r="M28" s="102">
        <f t="shared" si="20"/>
        <v>1154.01</v>
      </c>
      <c r="N28" s="102">
        <f t="shared" si="21"/>
        <v>0</v>
      </c>
      <c r="O28" s="102">
        <f t="shared" si="22"/>
        <v>121.05</v>
      </c>
      <c r="P28" s="103">
        <f t="shared" si="23"/>
        <v>1275.06</v>
      </c>
    </row>
    <row r="29" spans="1:16" s="56" customFormat="1">
      <c r="A29" s="533">
        <v>0</v>
      </c>
      <c r="B29" s="534"/>
      <c r="C29" s="543" t="s">
        <v>1272</v>
      </c>
      <c r="D29" s="536" t="s">
        <v>29</v>
      </c>
      <c r="E29" s="537">
        <f>1.05*E28</f>
        <v>847.35</v>
      </c>
      <c r="F29" s="462">
        <v>0</v>
      </c>
      <c r="G29" s="463">
        <v>0</v>
      </c>
      <c r="H29" s="455">
        <f t="shared" si="24"/>
        <v>0</v>
      </c>
      <c r="I29" s="464">
        <v>5.7</v>
      </c>
      <c r="J29" s="464">
        <v>0</v>
      </c>
      <c r="K29" s="102">
        <f t="shared" si="18"/>
        <v>5.7</v>
      </c>
      <c r="L29" s="50">
        <f t="shared" si="19"/>
        <v>0</v>
      </c>
      <c r="M29" s="102">
        <f t="shared" si="20"/>
        <v>0</v>
      </c>
      <c r="N29" s="102">
        <f t="shared" si="21"/>
        <v>4829.8999999999996</v>
      </c>
      <c r="O29" s="102">
        <f t="shared" si="22"/>
        <v>0</v>
      </c>
      <c r="P29" s="103">
        <f t="shared" si="23"/>
        <v>4829.8999999999996</v>
      </c>
    </row>
    <row r="30" spans="1:16" s="56" customFormat="1">
      <c r="A30" s="533">
        <v>9</v>
      </c>
      <c r="B30" s="534"/>
      <c r="C30" s="542" t="s">
        <v>1273</v>
      </c>
      <c r="D30" s="536" t="s">
        <v>29</v>
      </c>
      <c r="E30" s="537">
        <f>E28</f>
        <v>807</v>
      </c>
      <c r="F30" s="462">
        <v>0.05</v>
      </c>
      <c r="G30" s="463">
        <v>9.5</v>
      </c>
      <c r="H30" s="455">
        <f t="shared" si="24"/>
        <v>0.48</v>
      </c>
      <c r="I30" s="464">
        <v>0</v>
      </c>
      <c r="J30" s="464">
        <v>0</v>
      </c>
      <c r="K30" s="102">
        <f t="shared" si="18"/>
        <v>0.48</v>
      </c>
      <c r="L30" s="50">
        <f t="shared" si="19"/>
        <v>40.35</v>
      </c>
      <c r="M30" s="102">
        <f t="shared" si="20"/>
        <v>387.36</v>
      </c>
      <c r="N30" s="102">
        <f t="shared" si="21"/>
        <v>0</v>
      </c>
      <c r="O30" s="102">
        <f t="shared" si="22"/>
        <v>0</v>
      </c>
      <c r="P30" s="103">
        <f t="shared" si="23"/>
        <v>387.36</v>
      </c>
    </row>
    <row r="31" spans="1:16" s="56" customFormat="1">
      <c r="A31" s="533">
        <v>0</v>
      </c>
      <c r="B31" s="534"/>
      <c r="C31" s="544" t="s">
        <v>1274</v>
      </c>
      <c r="D31" s="536" t="s">
        <v>29</v>
      </c>
      <c r="E31" s="537">
        <f>1.2*E30</f>
        <v>968.4</v>
      </c>
      <c r="F31" s="462">
        <v>0</v>
      </c>
      <c r="G31" s="463">
        <v>0</v>
      </c>
      <c r="H31" s="455">
        <f t="shared" si="24"/>
        <v>0</v>
      </c>
      <c r="I31" s="464">
        <v>0.44</v>
      </c>
      <c r="J31" s="464">
        <v>0</v>
      </c>
      <c r="K31" s="102">
        <f t="shared" si="18"/>
        <v>0.44</v>
      </c>
      <c r="L31" s="50">
        <f t="shared" si="19"/>
        <v>0</v>
      </c>
      <c r="M31" s="102">
        <f t="shared" si="20"/>
        <v>0</v>
      </c>
      <c r="N31" s="102">
        <f t="shared" si="21"/>
        <v>426.1</v>
      </c>
      <c r="O31" s="102">
        <f t="shared" si="22"/>
        <v>0</v>
      </c>
      <c r="P31" s="103">
        <f t="shared" si="23"/>
        <v>426.1</v>
      </c>
    </row>
    <row r="32" spans="1:16" s="56" customFormat="1">
      <c r="A32" s="366">
        <v>10</v>
      </c>
      <c r="B32" s="499"/>
      <c r="C32" s="490" t="s">
        <v>1275</v>
      </c>
      <c r="D32" s="545" t="s">
        <v>29</v>
      </c>
      <c r="E32" s="425">
        <f>E30</f>
        <v>807</v>
      </c>
      <c r="F32" s="462">
        <v>0.09</v>
      </c>
      <c r="G32" s="463">
        <v>9.5</v>
      </c>
      <c r="H32" s="455">
        <f t="shared" si="24"/>
        <v>0.86</v>
      </c>
      <c r="I32" s="464">
        <v>0</v>
      </c>
      <c r="J32" s="464">
        <v>0.09</v>
      </c>
      <c r="K32" s="102">
        <f t="shared" si="18"/>
        <v>0.95</v>
      </c>
      <c r="L32" s="50">
        <f t="shared" si="19"/>
        <v>72.63</v>
      </c>
      <c r="M32" s="102">
        <f t="shared" si="20"/>
        <v>694.02</v>
      </c>
      <c r="N32" s="102">
        <f t="shared" si="21"/>
        <v>0</v>
      </c>
      <c r="O32" s="102">
        <f t="shared" si="22"/>
        <v>72.63</v>
      </c>
      <c r="P32" s="103">
        <f t="shared" si="23"/>
        <v>766.65</v>
      </c>
    </row>
    <row r="33" spans="1:16" s="56" customFormat="1">
      <c r="A33" s="366">
        <v>0</v>
      </c>
      <c r="B33" s="499"/>
      <c r="C33" s="546" t="s">
        <v>1276</v>
      </c>
      <c r="D33" s="545" t="s">
        <v>29</v>
      </c>
      <c r="E33" s="425">
        <f>1.1*E32</f>
        <v>887.7</v>
      </c>
      <c r="F33" s="462">
        <v>0</v>
      </c>
      <c r="G33" s="463">
        <v>0</v>
      </c>
      <c r="H33" s="455">
        <f t="shared" si="24"/>
        <v>0</v>
      </c>
      <c r="I33" s="464">
        <v>2.61</v>
      </c>
      <c r="J33" s="464">
        <v>0</v>
      </c>
      <c r="K33" s="102">
        <f t="shared" si="18"/>
        <v>2.61</v>
      </c>
      <c r="L33" s="50">
        <f t="shared" si="19"/>
        <v>0</v>
      </c>
      <c r="M33" s="102">
        <f t="shared" si="20"/>
        <v>0</v>
      </c>
      <c r="N33" s="102">
        <f t="shared" si="21"/>
        <v>2316.9</v>
      </c>
      <c r="O33" s="102">
        <f t="shared" si="22"/>
        <v>0</v>
      </c>
      <c r="P33" s="103">
        <f t="shared" si="23"/>
        <v>2316.9</v>
      </c>
    </row>
    <row r="34" spans="1:16" s="56" customFormat="1" ht="24.9">
      <c r="A34" s="366">
        <v>0</v>
      </c>
      <c r="B34" s="499"/>
      <c r="C34" s="546" t="s">
        <v>1277</v>
      </c>
      <c r="D34" s="545" t="s">
        <v>721</v>
      </c>
      <c r="E34" s="425">
        <v>1</v>
      </c>
      <c r="F34" s="462">
        <v>0</v>
      </c>
      <c r="G34" s="463">
        <v>0</v>
      </c>
      <c r="H34" s="455">
        <f t="shared" si="24"/>
        <v>0</v>
      </c>
      <c r="I34" s="464">
        <f>0.7*E32</f>
        <v>564.9</v>
      </c>
      <c r="J34" s="464">
        <v>0</v>
      </c>
      <c r="K34" s="102">
        <f t="shared" si="18"/>
        <v>564.9</v>
      </c>
      <c r="L34" s="50">
        <f t="shared" si="19"/>
        <v>0</v>
      </c>
      <c r="M34" s="102">
        <f t="shared" si="20"/>
        <v>0</v>
      </c>
      <c r="N34" s="102">
        <f t="shared" si="21"/>
        <v>564.9</v>
      </c>
      <c r="O34" s="102">
        <f t="shared" si="22"/>
        <v>0</v>
      </c>
      <c r="P34" s="103">
        <f t="shared" si="23"/>
        <v>564.9</v>
      </c>
    </row>
    <row r="35" spans="1:16" s="56" customFormat="1">
      <c r="A35" s="547">
        <v>11</v>
      </c>
      <c r="B35" s="548"/>
      <c r="C35" s="549" t="s">
        <v>1278</v>
      </c>
      <c r="D35" s="548" t="s">
        <v>884</v>
      </c>
      <c r="E35" s="550">
        <f>0.06*E28</f>
        <v>48.42</v>
      </c>
      <c r="F35" s="462">
        <v>4.2</v>
      </c>
      <c r="G35" s="463">
        <v>9.5</v>
      </c>
      <c r="H35" s="455">
        <f t="shared" ref="H35:H37" si="25">ROUND(G35*F35,2)</f>
        <v>39.9</v>
      </c>
      <c r="I35" s="464">
        <v>0</v>
      </c>
      <c r="J35" s="464">
        <v>2.8</v>
      </c>
      <c r="K35" s="102">
        <f t="shared" si="18"/>
        <v>42.699999999999996</v>
      </c>
      <c r="L35" s="50">
        <f t="shared" si="19"/>
        <v>203.36</v>
      </c>
      <c r="M35" s="102">
        <f t="shared" si="20"/>
        <v>1931.96</v>
      </c>
      <c r="N35" s="102">
        <f t="shared" si="21"/>
        <v>0</v>
      </c>
      <c r="O35" s="102">
        <f t="shared" si="22"/>
        <v>135.58000000000001</v>
      </c>
      <c r="P35" s="103">
        <f t="shared" si="23"/>
        <v>2067.54</v>
      </c>
    </row>
    <row r="36" spans="1:16" s="56" customFormat="1">
      <c r="A36" s="547">
        <v>0</v>
      </c>
      <c r="B36" s="548"/>
      <c r="C36" s="549" t="s">
        <v>1144</v>
      </c>
      <c r="D36" s="548" t="s">
        <v>884</v>
      </c>
      <c r="E36" s="550">
        <f>E35*1.05</f>
        <v>50.841000000000001</v>
      </c>
      <c r="F36" s="462"/>
      <c r="G36" s="463">
        <v>0</v>
      </c>
      <c r="H36" s="455">
        <f t="shared" si="25"/>
        <v>0</v>
      </c>
      <c r="I36" s="464">
        <v>69.3</v>
      </c>
      <c r="J36" s="464"/>
      <c r="K36" s="102">
        <f t="shared" si="18"/>
        <v>69.3</v>
      </c>
      <c r="L36" s="50">
        <f t="shared" si="19"/>
        <v>0</v>
      </c>
      <c r="M36" s="102">
        <f t="shared" si="20"/>
        <v>0</v>
      </c>
      <c r="N36" s="102">
        <f t="shared" si="21"/>
        <v>3523.28</v>
      </c>
      <c r="O36" s="102">
        <f t="shared" si="22"/>
        <v>0</v>
      </c>
      <c r="P36" s="103">
        <f t="shared" si="23"/>
        <v>3523.28</v>
      </c>
    </row>
    <row r="37" spans="1:16" s="56" customFormat="1">
      <c r="A37" s="547">
        <v>0</v>
      </c>
      <c r="B37" s="548"/>
      <c r="C37" s="549" t="s">
        <v>1116</v>
      </c>
      <c r="D37" s="548" t="s">
        <v>1117</v>
      </c>
      <c r="E37" s="550">
        <f>E35*0.25</f>
        <v>12.105</v>
      </c>
      <c r="F37" s="462"/>
      <c r="G37" s="463">
        <v>0</v>
      </c>
      <c r="H37" s="455">
        <f t="shared" si="25"/>
        <v>0</v>
      </c>
      <c r="I37" s="464">
        <v>0</v>
      </c>
      <c r="J37" s="464">
        <v>80</v>
      </c>
      <c r="K37" s="102">
        <f t="shared" si="18"/>
        <v>80</v>
      </c>
      <c r="L37" s="50">
        <f t="shared" si="19"/>
        <v>0</v>
      </c>
      <c r="M37" s="102">
        <f t="shared" si="20"/>
        <v>0</v>
      </c>
      <c r="N37" s="102">
        <f t="shared" si="21"/>
        <v>0</v>
      </c>
      <c r="O37" s="102">
        <f t="shared" si="22"/>
        <v>968.4</v>
      </c>
      <c r="P37" s="103">
        <f t="shared" si="23"/>
        <v>968.4</v>
      </c>
    </row>
    <row r="38" spans="1:16" s="56" customFormat="1">
      <c r="A38" s="474">
        <v>0</v>
      </c>
      <c r="B38" s="115"/>
      <c r="C38" s="541" t="s">
        <v>1279</v>
      </c>
      <c r="D38" s="433"/>
      <c r="E38" s="487"/>
      <c r="F38" s="462">
        <v>0</v>
      </c>
      <c r="G38" s="463">
        <v>0</v>
      </c>
      <c r="H38" s="455">
        <f t="shared" si="24"/>
        <v>0</v>
      </c>
      <c r="I38" s="464"/>
      <c r="J38" s="464"/>
      <c r="K38" s="102">
        <f t="shared" si="18"/>
        <v>0</v>
      </c>
      <c r="L38" s="50">
        <f t="shared" si="19"/>
        <v>0</v>
      </c>
      <c r="M38" s="102">
        <f t="shared" si="20"/>
        <v>0</v>
      </c>
      <c r="N38" s="102">
        <f t="shared" si="21"/>
        <v>0</v>
      </c>
      <c r="O38" s="102">
        <f t="shared" si="22"/>
        <v>0</v>
      </c>
      <c r="P38" s="103">
        <f t="shared" si="23"/>
        <v>0</v>
      </c>
    </row>
    <row r="39" spans="1:16" s="56" customFormat="1">
      <c r="A39" s="474">
        <v>12</v>
      </c>
      <c r="B39" s="496"/>
      <c r="C39" s="551" t="s">
        <v>1280</v>
      </c>
      <c r="D39" s="486" t="s">
        <v>29</v>
      </c>
      <c r="E39" s="487">
        <v>1042.8</v>
      </c>
      <c r="F39" s="462">
        <v>0.13</v>
      </c>
      <c r="G39" s="463">
        <v>9.5</v>
      </c>
      <c r="H39" s="455">
        <f t="shared" si="24"/>
        <v>1.24</v>
      </c>
      <c r="I39" s="464">
        <v>3.1</v>
      </c>
      <c r="J39" s="464">
        <v>0.01</v>
      </c>
      <c r="K39" s="102">
        <f t="shared" si="18"/>
        <v>4.3499999999999996</v>
      </c>
      <c r="L39" s="50">
        <f t="shared" si="19"/>
        <v>135.56</v>
      </c>
      <c r="M39" s="102">
        <f t="shared" si="20"/>
        <v>1293.07</v>
      </c>
      <c r="N39" s="102">
        <f t="shared" si="21"/>
        <v>3232.68</v>
      </c>
      <c r="O39" s="102">
        <f t="shared" si="22"/>
        <v>10.43</v>
      </c>
      <c r="P39" s="103">
        <f t="shared" si="23"/>
        <v>4536.18</v>
      </c>
    </row>
    <row r="40" spans="1:16" s="56" customFormat="1">
      <c r="A40" s="474">
        <v>13</v>
      </c>
      <c r="B40" s="496"/>
      <c r="C40" s="492" t="s">
        <v>1281</v>
      </c>
      <c r="D40" s="486" t="s">
        <v>29</v>
      </c>
      <c r="E40" s="487">
        <v>1042.8</v>
      </c>
      <c r="F40" s="462">
        <v>0.28999999999999998</v>
      </c>
      <c r="G40" s="463">
        <v>9.5</v>
      </c>
      <c r="H40" s="455">
        <f t="shared" si="24"/>
        <v>2.76</v>
      </c>
      <c r="I40" s="464"/>
      <c r="J40" s="464">
        <v>0.4</v>
      </c>
      <c r="K40" s="102">
        <f t="shared" si="18"/>
        <v>3.1599999999999997</v>
      </c>
      <c r="L40" s="50">
        <f t="shared" si="19"/>
        <v>302.41000000000003</v>
      </c>
      <c r="M40" s="102">
        <f t="shared" si="20"/>
        <v>2878.13</v>
      </c>
      <c r="N40" s="102">
        <f t="shared" si="21"/>
        <v>0</v>
      </c>
      <c r="O40" s="102">
        <f t="shared" si="22"/>
        <v>417.12</v>
      </c>
      <c r="P40" s="103">
        <f t="shared" si="23"/>
        <v>3295.25</v>
      </c>
    </row>
    <row r="41" spans="1:16" s="56" customFormat="1" ht="24.9">
      <c r="A41" s="474">
        <v>14</v>
      </c>
      <c r="B41" s="496"/>
      <c r="C41" s="492" t="s">
        <v>1282</v>
      </c>
      <c r="D41" s="486" t="s">
        <v>29</v>
      </c>
      <c r="E41" s="487">
        <f>E43</f>
        <v>3399.9</v>
      </c>
      <c r="F41" s="462">
        <v>0.39</v>
      </c>
      <c r="G41" s="463">
        <v>9.5</v>
      </c>
      <c r="H41" s="455">
        <f t="shared" si="24"/>
        <v>3.71</v>
      </c>
      <c r="I41" s="464">
        <v>0</v>
      </c>
      <c r="J41" s="464">
        <v>0.44</v>
      </c>
      <c r="K41" s="102">
        <f t="shared" si="18"/>
        <v>4.1500000000000004</v>
      </c>
      <c r="L41" s="50">
        <f t="shared" si="19"/>
        <v>1325.96</v>
      </c>
      <c r="M41" s="102">
        <f t="shared" si="20"/>
        <v>12613.63</v>
      </c>
      <c r="N41" s="102">
        <f t="shared" si="21"/>
        <v>0</v>
      </c>
      <c r="O41" s="102">
        <f t="shared" si="22"/>
        <v>1495.96</v>
      </c>
      <c r="P41" s="103">
        <f t="shared" si="23"/>
        <v>14109.59</v>
      </c>
    </row>
    <row r="42" spans="1:16" s="56" customFormat="1" ht="30.15" customHeight="1">
      <c r="A42" s="474">
        <v>0</v>
      </c>
      <c r="B42" s="496"/>
      <c r="C42" s="497" t="s">
        <v>1283</v>
      </c>
      <c r="D42" s="486" t="s">
        <v>1284</v>
      </c>
      <c r="E42" s="487">
        <f>1.8*10*E41</f>
        <v>61198.200000000004</v>
      </c>
      <c r="F42" s="462">
        <v>0</v>
      </c>
      <c r="G42" s="463">
        <v>0</v>
      </c>
      <c r="H42" s="455">
        <f t="shared" si="24"/>
        <v>0</v>
      </c>
      <c r="I42" s="464">
        <v>0.18</v>
      </c>
      <c r="J42" s="464">
        <v>0</v>
      </c>
      <c r="K42" s="102">
        <f t="shared" si="18"/>
        <v>0.18</v>
      </c>
      <c r="L42" s="50">
        <f t="shared" si="19"/>
        <v>0</v>
      </c>
      <c r="M42" s="102">
        <f t="shared" si="20"/>
        <v>0</v>
      </c>
      <c r="N42" s="102">
        <f t="shared" si="21"/>
        <v>11015.68</v>
      </c>
      <c r="O42" s="102">
        <f t="shared" si="22"/>
        <v>0</v>
      </c>
      <c r="P42" s="103">
        <f t="shared" si="23"/>
        <v>11015.68</v>
      </c>
    </row>
    <row r="43" spans="1:16" s="56" customFormat="1" ht="24.9">
      <c r="A43" s="474">
        <v>15</v>
      </c>
      <c r="B43" s="496"/>
      <c r="C43" s="490" t="s">
        <v>1285</v>
      </c>
      <c r="D43" s="486" t="s">
        <v>29</v>
      </c>
      <c r="E43" s="487">
        <f>E45+E49+E53</f>
        <v>3399.9</v>
      </c>
      <c r="F43" s="462">
        <v>0.39</v>
      </c>
      <c r="G43" s="463">
        <v>9.5</v>
      </c>
      <c r="H43" s="455">
        <f t="shared" si="24"/>
        <v>3.71</v>
      </c>
      <c r="I43" s="464">
        <v>0</v>
      </c>
      <c r="J43" s="464">
        <v>0.22</v>
      </c>
      <c r="K43" s="102">
        <f t="shared" si="18"/>
        <v>3.93</v>
      </c>
      <c r="L43" s="50">
        <f t="shared" si="19"/>
        <v>1325.96</v>
      </c>
      <c r="M43" s="102">
        <f t="shared" si="20"/>
        <v>12613.63</v>
      </c>
      <c r="N43" s="102">
        <f t="shared" si="21"/>
        <v>0</v>
      </c>
      <c r="O43" s="102">
        <f t="shared" si="22"/>
        <v>747.98</v>
      </c>
      <c r="P43" s="103">
        <f t="shared" si="23"/>
        <v>13361.609999999999</v>
      </c>
    </row>
    <row r="44" spans="1:16" s="56" customFormat="1">
      <c r="A44" s="474">
        <v>0</v>
      </c>
      <c r="B44" s="496"/>
      <c r="C44" s="497" t="s">
        <v>1286</v>
      </c>
      <c r="D44" s="486" t="s">
        <v>1284</v>
      </c>
      <c r="E44" s="487">
        <f>1.5*3*1.15*E43</f>
        <v>17594.482499999998</v>
      </c>
      <c r="F44" s="462">
        <v>0</v>
      </c>
      <c r="G44" s="463">
        <v>0</v>
      </c>
      <c r="H44" s="455">
        <f t="shared" si="24"/>
        <v>0</v>
      </c>
      <c r="I44" s="464">
        <v>0.71</v>
      </c>
      <c r="J44" s="464">
        <v>0</v>
      </c>
      <c r="K44" s="102">
        <f t="shared" si="18"/>
        <v>0.71</v>
      </c>
      <c r="L44" s="50">
        <f t="shared" si="19"/>
        <v>0</v>
      </c>
      <c r="M44" s="102">
        <f t="shared" si="20"/>
        <v>0</v>
      </c>
      <c r="N44" s="102">
        <f t="shared" si="21"/>
        <v>12492.08</v>
      </c>
      <c r="O44" s="102">
        <f t="shared" si="22"/>
        <v>0</v>
      </c>
      <c r="P44" s="103">
        <f t="shared" si="23"/>
        <v>12492.08</v>
      </c>
    </row>
    <row r="45" spans="1:16" s="56" customFormat="1">
      <c r="A45" s="474">
        <v>16</v>
      </c>
      <c r="B45" s="496"/>
      <c r="C45" s="492" t="s">
        <v>1287</v>
      </c>
      <c r="D45" s="486" t="s">
        <v>29</v>
      </c>
      <c r="E45" s="487">
        <v>2626.8</v>
      </c>
      <c r="F45" s="462">
        <v>0.69</v>
      </c>
      <c r="G45" s="463">
        <v>9.5</v>
      </c>
      <c r="H45" s="455">
        <f t="shared" si="24"/>
        <v>6.56</v>
      </c>
      <c r="I45" s="464">
        <v>0</v>
      </c>
      <c r="J45" s="464">
        <v>0.09</v>
      </c>
      <c r="K45" s="102">
        <f t="shared" si="18"/>
        <v>6.6499999999999995</v>
      </c>
      <c r="L45" s="50">
        <f t="shared" si="19"/>
        <v>1812.49</v>
      </c>
      <c r="M45" s="102">
        <f t="shared" si="20"/>
        <v>17231.810000000001</v>
      </c>
      <c r="N45" s="102">
        <f t="shared" si="21"/>
        <v>0</v>
      </c>
      <c r="O45" s="102">
        <f t="shared" si="22"/>
        <v>236.41</v>
      </c>
      <c r="P45" s="103">
        <f t="shared" si="23"/>
        <v>17468.22</v>
      </c>
    </row>
    <row r="46" spans="1:16" s="56" customFormat="1" ht="24.9">
      <c r="A46" s="474">
        <v>0</v>
      </c>
      <c r="B46" s="496"/>
      <c r="C46" s="498" t="s">
        <v>1288</v>
      </c>
      <c r="D46" s="486" t="s">
        <v>29</v>
      </c>
      <c r="E46" s="487">
        <f>1.25*E45</f>
        <v>3283.5</v>
      </c>
      <c r="F46" s="462">
        <v>0</v>
      </c>
      <c r="G46" s="463">
        <v>0</v>
      </c>
      <c r="H46" s="455">
        <f t="shared" si="24"/>
        <v>0</v>
      </c>
      <c r="I46" s="464">
        <v>16.5</v>
      </c>
      <c r="J46" s="464">
        <v>0</v>
      </c>
      <c r="K46" s="102">
        <f t="shared" si="18"/>
        <v>16.5</v>
      </c>
      <c r="L46" s="50">
        <f t="shared" si="19"/>
        <v>0</v>
      </c>
      <c r="M46" s="102">
        <f t="shared" si="20"/>
        <v>0</v>
      </c>
      <c r="N46" s="102">
        <f t="shared" si="21"/>
        <v>54177.75</v>
      </c>
      <c r="O46" s="102">
        <f t="shared" si="22"/>
        <v>0</v>
      </c>
      <c r="P46" s="103">
        <f t="shared" si="23"/>
        <v>54177.75</v>
      </c>
    </row>
    <row r="47" spans="1:16" s="56" customFormat="1">
      <c r="A47" s="474">
        <v>0</v>
      </c>
      <c r="B47" s="496"/>
      <c r="C47" s="498" t="s">
        <v>1289</v>
      </c>
      <c r="D47" s="486" t="s">
        <v>1284</v>
      </c>
      <c r="E47" s="487">
        <f>0.45*E45</f>
        <v>1182.0600000000002</v>
      </c>
      <c r="F47" s="462">
        <v>0</v>
      </c>
      <c r="G47" s="463">
        <v>0</v>
      </c>
      <c r="H47" s="455">
        <f t="shared" si="24"/>
        <v>0</v>
      </c>
      <c r="I47" s="464">
        <v>4.03</v>
      </c>
      <c r="J47" s="464">
        <v>0</v>
      </c>
      <c r="K47" s="102">
        <f t="shared" si="18"/>
        <v>4.03</v>
      </c>
      <c r="L47" s="50">
        <f t="shared" si="19"/>
        <v>0</v>
      </c>
      <c r="M47" s="102">
        <f t="shared" si="20"/>
        <v>0</v>
      </c>
      <c r="N47" s="102">
        <f t="shared" si="21"/>
        <v>4763.7</v>
      </c>
      <c r="O47" s="102">
        <f t="shared" si="22"/>
        <v>0</v>
      </c>
      <c r="P47" s="103">
        <f t="shared" si="23"/>
        <v>4763.7</v>
      </c>
    </row>
    <row r="48" spans="1:16" s="56" customFormat="1">
      <c r="A48" s="474">
        <v>0</v>
      </c>
      <c r="B48" s="496"/>
      <c r="C48" s="497" t="s">
        <v>1290</v>
      </c>
      <c r="D48" s="486" t="s">
        <v>1060</v>
      </c>
      <c r="E48" s="487">
        <f>0.7*E45</f>
        <v>1838.76</v>
      </c>
      <c r="F48" s="462">
        <v>0</v>
      </c>
      <c r="G48" s="463">
        <v>0</v>
      </c>
      <c r="H48" s="455">
        <f t="shared" si="24"/>
        <v>0</v>
      </c>
      <c r="I48" s="464">
        <v>0.87</v>
      </c>
      <c r="J48" s="464">
        <v>0</v>
      </c>
      <c r="K48" s="102">
        <f t="shared" si="18"/>
        <v>0.87</v>
      </c>
      <c r="L48" s="50">
        <f t="shared" si="19"/>
        <v>0</v>
      </c>
      <c r="M48" s="102">
        <f t="shared" si="20"/>
        <v>0</v>
      </c>
      <c r="N48" s="102">
        <f t="shared" si="21"/>
        <v>1599.72</v>
      </c>
      <c r="O48" s="102">
        <f t="shared" si="22"/>
        <v>0</v>
      </c>
      <c r="P48" s="103">
        <f t="shared" si="23"/>
        <v>1599.72</v>
      </c>
    </row>
    <row r="49" spans="1:16" s="56" customFormat="1">
      <c r="A49" s="474">
        <v>17</v>
      </c>
      <c r="B49" s="496"/>
      <c r="C49" s="492" t="s">
        <v>1287</v>
      </c>
      <c r="D49" s="486" t="s">
        <v>29</v>
      </c>
      <c r="E49" s="487">
        <v>598.20000000000005</v>
      </c>
      <c r="F49" s="462">
        <v>0.69</v>
      </c>
      <c r="G49" s="463">
        <v>9.5</v>
      </c>
      <c r="H49" s="455">
        <f t="shared" si="24"/>
        <v>6.56</v>
      </c>
      <c r="I49" s="464">
        <v>0</v>
      </c>
      <c r="J49" s="464">
        <v>0.09</v>
      </c>
      <c r="K49" s="102">
        <f t="shared" si="18"/>
        <v>6.6499999999999995</v>
      </c>
      <c r="L49" s="50">
        <f t="shared" si="19"/>
        <v>412.76</v>
      </c>
      <c r="M49" s="102">
        <f t="shared" si="20"/>
        <v>3924.19</v>
      </c>
      <c r="N49" s="102">
        <f t="shared" si="21"/>
        <v>0</v>
      </c>
      <c r="O49" s="102">
        <f t="shared" si="22"/>
        <v>53.84</v>
      </c>
      <c r="P49" s="103">
        <f t="shared" si="23"/>
        <v>3978.03</v>
      </c>
    </row>
    <row r="50" spans="1:16" s="56" customFormat="1" ht="24.9">
      <c r="A50" s="474">
        <v>0</v>
      </c>
      <c r="B50" s="496"/>
      <c r="C50" s="498" t="s">
        <v>1291</v>
      </c>
      <c r="D50" s="486" t="s">
        <v>29</v>
      </c>
      <c r="E50" s="487">
        <f>1.25*E49</f>
        <v>747.75</v>
      </c>
      <c r="F50" s="462">
        <v>0</v>
      </c>
      <c r="G50" s="463">
        <v>0</v>
      </c>
      <c r="H50" s="455">
        <f t="shared" si="24"/>
        <v>0</v>
      </c>
      <c r="I50" s="464">
        <v>15.5</v>
      </c>
      <c r="J50" s="464">
        <v>0</v>
      </c>
      <c r="K50" s="102">
        <f t="shared" si="18"/>
        <v>15.5</v>
      </c>
      <c r="L50" s="50">
        <f t="shared" si="19"/>
        <v>0</v>
      </c>
      <c r="M50" s="102">
        <f t="shared" si="20"/>
        <v>0</v>
      </c>
      <c r="N50" s="102">
        <f t="shared" si="21"/>
        <v>11590.13</v>
      </c>
      <c r="O50" s="102">
        <f t="shared" si="22"/>
        <v>0</v>
      </c>
      <c r="P50" s="103">
        <f t="shared" si="23"/>
        <v>11590.13</v>
      </c>
    </row>
    <row r="51" spans="1:16" s="56" customFormat="1">
      <c r="A51" s="474">
        <v>0</v>
      </c>
      <c r="B51" s="496"/>
      <c r="C51" s="498" t="s">
        <v>1289</v>
      </c>
      <c r="D51" s="486" t="s">
        <v>1284</v>
      </c>
      <c r="E51" s="487">
        <f>0.45*E49</f>
        <v>269.19000000000005</v>
      </c>
      <c r="F51" s="462">
        <v>0</v>
      </c>
      <c r="G51" s="463">
        <v>0</v>
      </c>
      <c r="H51" s="455">
        <f t="shared" si="24"/>
        <v>0</v>
      </c>
      <c r="I51" s="464">
        <v>4.03</v>
      </c>
      <c r="J51" s="464">
        <v>0</v>
      </c>
      <c r="K51" s="102">
        <f t="shared" si="18"/>
        <v>4.03</v>
      </c>
      <c r="L51" s="50">
        <f t="shared" si="19"/>
        <v>0</v>
      </c>
      <c r="M51" s="102">
        <f t="shared" si="20"/>
        <v>0</v>
      </c>
      <c r="N51" s="102">
        <f t="shared" si="21"/>
        <v>1084.8399999999999</v>
      </c>
      <c r="O51" s="102">
        <f t="shared" si="22"/>
        <v>0</v>
      </c>
      <c r="P51" s="103">
        <f t="shared" si="23"/>
        <v>1084.8399999999999</v>
      </c>
    </row>
    <row r="52" spans="1:16" s="56" customFormat="1">
      <c r="A52" s="474">
        <v>0</v>
      </c>
      <c r="B52" s="496"/>
      <c r="C52" s="497" t="s">
        <v>1290</v>
      </c>
      <c r="D52" s="486" t="s">
        <v>1060</v>
      </c>
      <c r="E52" s="487">
        <f>0.7*E49</f>
        <v>418.74</v>
      </c>
      <c r="F52" s="462">
        <v>0</v>
      </c>
      <c r="G52" s="463">
        <v>0</v>
      </c>
      <c r="H52" s="455">
        <f t="shared" si="24"/>
        <v>0</v>
      </c>
      <c r="I52" s="464">
        <v>0.87</v>
      </c>
      <c r="J52" s="464">
        <v>0</v>
      </c>
      <c r="K52" s="102">
        <f t="shared" si="18"/>
        <v>0.87</v>
      </c>
      <c r="L52" s="50">
        <f t="shared" si="19"/>
        <v>0</v>
      </c>
      <c r="M52" s="102">
        <f t="shared" si="20"/>
        <v>0</v>
      </c>
      <c r="N52" s="102">
        <f t="shared" si="21"/>
        <v>364.3</v>
      </c>
      <c r="O52" s="102">
        <f t="shared" si="22"/>
        <v>0</v>
      </c>
      <c r="P52" s="103">
        <f t="shared" si="23"/>
        <v>364.3</v>
      </c>
    </row>
    <row r="53" spans="1:16" s="56" customFormat="1">
      <c r="A53" s="474">
        <v>18</v>
      </c>
      <c r="B53" s="496"/>
      <c r="C53" s="492" t="s">
        <v>1287</v>
      </c>
      <c r="D53" s="486" t="s">
        <v>29</v>
      </c>
      <c r="E53" s="487">
        <v>174.9</v>
      </c>
      <c r="F53" s="462">
        <v>0.69</v>
      </c>
      <c r="G53" s="463">
        <v>9.5</v>
      </c>
      <c r="H53" s="455">
        <f t="shared" si="24"/>
        <v>6.56</v>
      </c>
      <c r="I53" s="464">
        <v>0</v>
      </c>
      <c r="J53" s="464">
        <v>0.09</v>
      </c>
      <c r="K53" s="102">
        <f t="shared" si="18"/>
        <v>6.6499999999999995</v>
      </c>
      <c r="L53" s="50">
        <f t="shared" si="19"/>
        <v>120.68</v>
      </c>
      <c r="M53" s="102">
        <f t="shared" si="20"/>
        <v>1147.3399999999999</v>
      </c>
      <c r="N53" s="102">
        <f t="shared" si="21"/>
        <v>0</v>
      </c>
      <c r="O53" s="102">
        <f t="shared" si="22"/>
        <v>15.74</v>
      </c>
      <c r="P53" s="103">
        <f t="shared" si="23"/>
        <v>1163.08</v>
      </c>
    </row>
    <row r="54" spans="1:16" s="56" customFormat="1" ht="24.9">
      <c r="A54" s="474">
        <v>0</v>
      </c>
      <c r="B54" s="496"/>
      <c r="C54" s="498" t="s">
        <v>1292</v>
      </c>
      <c r="D54" s="486" t="s">
        <v>29</v>
      </c>
      <c r="E54" s="487">
        <f>1.25*E53</f>
        <v>218.625</v>
      </c>
      <c r="F54" s="462">
        <v>0</v>
      </c>
      <c r="G54" s="463">
        <v>0</v>
      </c>
      <c r="H54" s="455">
        <f t="shared" si="24"/>
        <v>0</v>
      </c>
      <c r="I54" s="464">
        <v>14</v>
      </c>
      <c r="J54" s="464">
        <v>0</v>
      </c>
      <c r="K54" s="102">
        <f t="shared" si="18"/>
        <v>14</v>
      </c>
      <c r="L54" s="50">
        <f t="shared" si="19"/>
        <v>0</v>
      </c>
      <c r="M54" s="102">
        <f t="shared" si="20"/>
        <v>0</v>
      </c>
      <c r="N54" s="102">
        <f t="shared" si="21"/>
        <v>3060.75</v>
      </c>
      <c r="O54" s="102">
        <f t="shared" si="22"/>
        <v>0</v>
      </c>
      <c r="P54" s="103">
        <f t="shared" si="23"/>
        <v>3060.75</v>
      </c>
    </row>
    <row r="55" spans="1:16" s="56" customFormat="1">
      <c r="A55" s="474">
        <v>0</v>
      </c>
      <c r="B55" s="496"/>
      <c r="C55" s="498" t="s">
        <v>1289</v>
      </c>
      <c r="D55" s="486" t="s">
        <v>1284</v>
      </c>
      <c r="E55" s="487">
        <f>0.45*E53</f>
        <v>78.704999999999998</v>
      </c>
      <c r="F55" s="462">
        <v>0</v>
      </c>
      <c r="G55" s="463">
        <v>0</v>
      </c>
      <c r="H55" s="455">
        <f t="shared" si="24"/>
        <v>0</v>
      </c>
      <c r="I55" s="464">
        <v>4.03</v>
      </c>
      <c r="J55" s="464">
        <v>0</v>
      </c>
      <c r="K55" s="102">
        <f t="shared" si="18"/>
        <v>4.03</v>
      </c>
      <c r="L55" s="50">
        <f t="shared" si="19"/>
        <v>0</v>
      </c>
      <c r="M55" s="102">
        <f t="shared" si="20"/>
        <v>0</v>
      </c>
      <c r="N55" s="102">
        <f t="shared" si="21"/>
        <v>317.18</v>
      </c>
      <c r="O55" s="102">
        <f t="shared" si="22"/>
        <v>0</v>
      </c>
      <c r="P55" s="103">
        <f t="shared" si="23"/>
        <v>317.18</v>
      </c>
    </row>
    <row r="56" spans="1:16" s="56" customFormat="1">
      <c r="A56" s="474">
        <v>0</v>
      </c>
      <c r="B56" s="496"/>
      <c r="C56" s="497" t="s">
        <v>1290</v>
      </c>
      <c r="D56" s="486" t="s">
        <v>1060</v>
      </c>
      <c r="E56" s="487">
        <f>0.7*E53</f>
        <v>122.42999999999999</v>
      </c>
      <c r="F56" s="462">
        <v>0</v>
      </c>
      <c r="G56" s="463">
        <v>0</v>
      </c>
      <c r="H56" s="455">
        <f t="shared" si="24"/>
        <v>0</v>
      </c>
      <c r="I56" s="464">
        <v>0.87</v>
      </c>
      <c r="J56" s="464">
        <v>0</v>
      </c>
      <c r="K56" s="102">
        <f t="shared" si="18"/>
        <v>0.87</v>
      </c>
      <c r="L56" s="50">
        <f t="shared" si="19"/>
        <v>0</v>
      </c>
      <c r="M56" s="102">
        <f t="shared" si="20"/>
        <v>0</v>
      </c>
      <c r="N56" s="102">
        <f t="shared" si="21"/>
        <v>106.51</v>
      </c>
      <c r="O56" s="102">
        <f t="shared" si="22"/>
        <v>0</v>
      </c>
      <c r="P56" s="103">
        <f t="shared" si="23"/>
        <v>106.51</v>
      </c>
    </row>
    <row r="57" spans="1:16" s="56" customFormat="1">
      <c r="A57" s="474">
        <v>19</v>
      </c>
      <c r="B57" s="496"/>
      <c r="C57" s="492" t="s">
        <v>1293</v>
      </c>
      <c r="D57" s="486" t="s">
        <v>111</v>
      </c>
      <c r="E57" s="487">
        <v>242.14</v>
      </c>
      <c r="F57" s="462">
        <v>0.26</v>
      </c>
      <c r="G57" s="463">
        <v>9.5</v>
      </c>
      <c r="H57" s="455">
        <f t="shared" si="24"/>
        <v>2.4700000000000002</v>
      </c>
      <c r="I57" s="464">
        <v>3.25</v>
      </c>
      <c r="J57" s="464">
        <v>0.09</v>
      </c>
      <c r="K57" s="102">
        <f t="shared" si="18"/>
        <v>5.8100000000000005</v>
      </c>
      <c r="L57" s="50">
        <f t="shared" si="19"/>
        <v>62.96</v>
      </c>
      <c r="M57" s="102">
        <f t="shared" si="20"/>
        <v>598.09</v>
      </c>
      <c r="N57" s="102">
        <f t="shared" si="21"/>
        <v>786.96</v>
      </c>
      <c r="O57" s="102">
        <f t="shared" si="22"/>
        <v>21.79</v>
      </c>
      <c r="P57" s="103">
        <f t="shared" si="23"/>
        <v>1406.8400000000001</v>
      </c>
    </row>
    <row r="58" spans="1:16" s="56" customFormat="1" ht="24.9">
      <c r="A58" s="474">
        <v>20</v>
      </c>
      <c r="B58" s="496"/>
      <c r="C58" s="492" t="s">
        <v>1294</v>
      </c>
      <c r="D58" s="486" t="s">
        <v>111</v>
      </c>
      <c r="E58" s="487">
        <v>883.98</v>
      </c>
      <c r="F58" s="462">
        <v>0.3</v>
      </c>
      <c r="G58" s="463">
        <v>9.5</v>
      </c>
      <c r="H58" s="455">
        <f t="shared" si="24"/>
        <v>2.85</v>
      </c>
      <c r="I58" s="464">
        <v>7.9</v>
      </c>
      <c r="J58" s="464">
        <v>0.09</v>
      </c>
      <c r="K58" s="102">
        <f t="shared" si="18"/>
        <v>10.84</v>
      </c>
      <c r="L58" s="50">
        <f t="shared" si="19"/>
        <v>265.19</v>
      </c>
      <c r="M58" s="102">
        <f t="shared" si="20"/>
        <v>2519.34</v>
      </c>
      <c r="N58" s="102">
        <f t="shared" si="21"/>
        <v>6983.44</v>
      </c>
      <c r="O58" s="102">
        <f t="shared" si="22"/>
        <v>79.56</v>
      </c>
      <c r="P58" s="103">
        <f t="shared" si="23"/>
        <v>9582.3399999999983</v>
      </c>
    </row>
    <row r="59" spans="1:16" s="56" customFormat="1">
      <c r="A59" s="474">
        <v>21</v>
      </c>
      <c r="B59" s="496"/>
      <c r="C59" s="492" t="s">
        <v>1295</v>
      </c>
      <c r="D59" s="486" t="s">
        <v>29</v>
      </c>
      <c r="E59" s="487">
        <f>E62+E66</f>
        <v>65.5</v>
      </c>
      <c r="F59" s="462">
        <v>0.39</v>
      </c>
      <c r="G59" s="463">
        <v>9.5</v>
      </c>
      <c r="H59" s="455">
        <f t="shared" si="24"/>
        <v>3.71</v>
      </c>
      <c r="I59" s="464">
        <v>0</v>
      </c>
      <c r="J59" s="464">
        <v>0.03</v>
      </c>
      <c r="K59" s="102">
        <f t="shared" si="18"/>
        <v>3.7399999999999998</v>
      </c>
      <c r="L59" s="50">
        <f t="shared" si="19"/>
        <v>25.55</v>
      </c>
      <c r="M59" s="102">
        <f t="shared" si="20"/>
        <v>243.01</v>
      </c>
      <c r="N59" s="102">
        <f t="shared" si="21"/>
        <v>0</v>
      </c>
      <c r="O59" s="102">
        <f t="shared" si="22"/>
        <v>1.97</v>
      </c>
      <c r="P59" s="103">
        <f t="shared" si="23"/>
        <v>244.98</v>
      </c>
    </row>
    <row r="60" spans="1:16" s="56" customFormat="1">
      <c r="A60" s="474">
        <v>0</v>
      </c>
      <c r="B60" s="496"/>
      <c r="C60" s="497" t="s">
        <v>1296</v>
      </c>
      <c r="D60" s="486" t="s">
        <v>1284</v>
      </c>
      <c r="E60" s="487">
        <f>2.1*E59</f>
        <v>137.55000000000001</v>
      </c>
      <c r="F60" s="462">
        <v>0</v>
      </c>
      <c r="G60" s="463">
        <v>0</v>
      </c>
      <c r="H60" s="455">
        <f t="shared" si="24"/>
        <v>0</v>
      </c>
      <c r="I60" s="464">
        <v>2.4700000000000002</v>
      </c>
      <c r="J60" s="464">
        <v>0</v>
      </c>
      <c r="K60" s="102">
        <f t="shared" si="18"/>
        <v>2.4700000000000002</v>
      </c>
      <c r="L60" s="50">
        <f t="shared" si="19"/>
        <v>0</v>
      </c>
      <c r="M60" s="102">
        <f t="shared" si="20"/>
        <v>0</v>
      </c>
      <c r="N60" s="102">
        <f t="shared" si="21"/>
        <v>339.75</v>
      </c>
      <c r="O60" s="102">
        <f t="shared" si="22"/>
        <v>0</v>
      </c>
      <c r="P60" s="103">
        <f t="shared" si="23"/>
        <v>339.75</v>
      </c>
    </row>
    <row r="61" spans="1:16" s="56" customFormat="1">
      <c r="A61" s="474">
        <v>0</v>
      </c>
      <c r="B61" s="496"/>
      <c r="C61" s="497" t="s">
        <v>691</v>
      </c>
      <c r="D61" s="486" t="s">
        <v>29</v>
      </c>
      <c r="E61" s="487">
        <f>E59</f>
        <v>65.5</v>
      </c>
      <c r="F61" s="462">
        <v>0</v>
      </c>
      <c r="G61" s="463">
        <v>0</v>
      </c>
      <c r="H61" s="455">
        <f t="shared" si="24"/>
        <v>0</v>
      </c>
      <c r="I61" s="464">
        <v>0.15</v>
      </c>
      <c r="J61" s="464">
        <v>0</v>
      </c>
      <c r="K61" s="102">
        <f t="shared" si="18"/>
        <v>0.15</v>
      </c>
      <c r="L61" s="50">
        <f t="shared" si="19"/>
        <v>0</v>
      </c>
      <c r="M61" s="102">
        <f t="shared" si="20"/>
        <v>0</v>
      </c>
      <c r="N61" s="102">
        <f t="shared" si="21"/>
        <v>9.83</v>
      </c>
      <c r="O61" s="102">
        <f t="shared" si="22"/>
        <v>0</v>
      </c>
      <c r="P61" s="103">
        <f t="shared" si="23"/>
        <v>9.83</v>
      </c>
    </row>
    <row r="62" spans="1:16" s="56" customFormat="1">
      <c r="A62" s="474">
        <v>22</v>
      </c>
      <c r="B62" s="496"/>
      <c r="C62" s="490" t="s">
        <v>1297</v>
      </c>
      <c r="D62" s="486" t="s">
        <v>29</v>
      </c>
      <c r="E62" s="487">
        <v>32.299999999999997</v>
      </c>
      <c r="F62" s="462">
        <v>1.87</v>
      </c>
      <c r="G62" s="463">
        <v>9.5</v>
      </c>
      <c r="H62" s="455">
        <f t="shared" si="24"/>
        <v>17.77</v>
      </c>
      <c r="I62" s="464">
        <v>0</v>
      </c>
      <c r="J62" s="464">
        <v>0.73</v>
      </c>
      <c r="K62" s="102">
        <f t="shared" si="18"/>
        <v>18.5</v>
      </c>
      <c r="L62" s="50">
        <f t="shared" si="19"/>
        <v>60.4</v>
      </c>
      <c r="M62" s="102">
        <f t="shared" si="20"/>
        <v>573.97</v>
      </c>
      <c r="N62" s="102">
        <f t="shared" si="21"/>
        <v>0</v>
      </c>
      <c r="O62" s="102">
        <f t="shared" si="22"/>
        <v>23.58</v>
      </c>
      <c r="P62" s="103">
        <f t="shared" si="23"/>
        <v>597.55000000000007</v>
      </c>
    </row>
    <row r="63" spans="1:16" s="56" customFormat="1" ht="30.15" customHeight="1">
      <c r="A63" s="474">
        <v>0</v>
      </c>
      <c r="B63" s="496"/>
      <c r="C63" s="498" t="s">
        <v>1436</v>
      </c>
      <c r="D63" s="486" t="s">
        <v>29</v>
      </c>
      <c r="E63" s="487">
        <f>1.08*E62</f>
        <v>34.884</v>
      </c>
      <c r="F63" s="462">
        <v>0</v>
      </c>
      <c r="G63" s="463">
        <v>0</v>
      </c>
      <c r="H63" s="455">
        <f t="shared" si="24"/>
        <v>0</v>
      </c>
      <c r="I63" s="464">
        <v>11.5</v>
      </c>
      <c r="J63" s="464">
        <v>0</v>
      </c>
      <c r="K63" s="102">
        <f t="shared" si="18"/>
        <v>11.5</v>
      </c>
      <c r="L63" s="50">
        <f t="shared" si="19"/>
        <v>0</v>
      </c>
      <c r="M63" s="102">
        <f t="shared" si="20"/>
        <v>0</v>
      </c>
      <c r="N63" s="102">
        <f t="shared" si="21"/>
        <v>401.17</v>
      </c>
      <c r="O63" s="102">
        <f t="shared" si="22"/>
        <v>0</v>
      </c>
      <c r="P63" s="103">
        <f t="shared" si="23"/>
        <v>401.17</v>
      </c>
    </row>
    <row r="64" spans="1:16" s="56" customFormat="1">
      <c r="A64" s="474">
        <v>0</v>
      </c>
      <c r="B64" s="496"/>
      <c r="C64" s="552" t="s">
        <v>1298</v>
      </c>
      <c r="D64" s="486" t="s">
        <v>1284</v>
      </c>
      <c r="E64" s="487">
        <f>4.4*E62</f>
        <v>142.12</v>
      </c>
      <c r="F64" s="462">
        <v>0</v>
      </c>
      <c r="G64" s="463">
        <v>0</v>
      </c>
      <c r="H64" s="455">
        <f t="shared" si="24"/>
        <v>0</v>
      </c>
      <c r="I64" s="464">
        <v>0.18</v>
      </c>
      <c r="J64" s="464">
        <v>0</v>
      </c>
      <c r="K64" s="102">
        <f t="shared" si="18"/>
        <v>0.18</v>
      </c>
      <c r="L64" s="50">
        <f t="shared" si="19"/>
        <v>0</v>
      </c>
      <c r="M64" s="102">
        <f t="shared" si="20"/>
        <v>0</v>
      </c>
      <c r="N64" s="102">
        <f t="shared" si="21"/>
        <v>25.58</v>
      </c>
      <c r="O64" s="102">
        <f t="shared" si="22"/>
        <v>0</v>
      </c>
      <c r="P64" s="103">
        <f t="shared" si="23"/>
        <v>25.58</v>
      </c>
    </row>
    <row r="65" spans="1:16" s="56" customFormat="1">
      <c r="A65" s="474">
        <v>0</v>
      </c>
      <c r="B65" s="496"/>
      <c r="C65" s="497" t="s">
        <v>1299</v>
      </c>
      <c r="D65" s="486" t="s">
        <v>1284</v>
      </c>
      <c r="E65" s="487">
        <f>0.44*E62</f>
        <v>14.211999999999998</v>
      </c>
      <c r="F65" s="462">
        <v>0</v>
      </c>
      <c r="G65" s="463">
        <v>0</v>
      </c>
      <c r="H65" s="455">
        <f t="shared" si="24"/>
        <v>0</v>
      </c>
      <c r="I65" s="464">
        <v>1.2</v>
      </c>
      <c r="J65" s="464">
        <v>0</v>
      </c>
      <c r="K65" s="102">
        <f t="shared" si="18"/>
        <v>1.2</v>
      </c>
      <c r="L65" s="50">
        <f t="shared" si="19"/>
        <v>0</v>
      </c>
      <c r="M65" s="102">
        <f t="shared" si="20"/>
        <v>0</v>
      </c>
      <c r="N65" s="102">
        <f t="shared" si="21"/>
        <v>17.05</v>
      </c>
      <c r="O65" s="102">
        <f t="shared" si="22"/>
        <v>0</v>
      </c>
      <c r="P65" s="103">
        <f t="shared" si="23"/>
        <v>17.05</v>
      </c>
    </row>
    <row r="66" spans="1:16" s="56" customFormat="1">
      <c r="A66" s="474">
        <v>23</v>
      </c>
      <c r="B66" s="496"/>
      <c r="C66" s="490" t="s">
        <v>1297</v>
      </c>
      <c r="D66" s="486" t="s">
        <v>29</v>
      </c>
      <c r="E66" s="487">
        <v>33.200000000000003</v>
      </c>
      <c r="F66" s="462">
        <v>1.87</v>
      </c>
      <c r="G66" s="463">
        <v>9.5</v>
      </c>
      <c r="H66" s="455">
        <f t="shared" si="24"/>
        <v>17.77</v>
      </c>
      <c r="I66" s="464">
        <v>0</v>
      </c>
      <c r="J66" s="464">
        <v>0.73</v>
      </c>
      <c r="K66" s="102">
        <f t="shared" si="18"/>
        <v>18.5</v>
      </c>
      <c r="L66" s="50">
        <f t="shared" si="19"/>
        <v>62.08</v>
      </c>
      <c r="M66" s="102">
        <f t="shared" si="20"/>
        <v>589.96</v>
      </c>
      <c r="N66" s="102">
        <f t="shared" si="21"/>
        <v>0</v>
      </c>
      <c r="O66" s="102">
        <f t="shared" si="22"/>
        <v>24.24</v>
      </c>
      <c r="P66" s="103">
        <f t="shared" si="23"/>
        <v>614.20000000000005</v>
      </c>
    </row>
    <row r="67" spans="1:16" s="56" customFormat="1" ht="24.9">
      <c r="A67" s="474">
        <v>0</v>
      </c>
      <c r="B67" s="496"/>
      <c r="C67" s="498" t="s">
        <v>1437</v>
      </c>
      <c r="D67" s="486" t="s">
        <v>29</v>
      </c>
      <c r="E67" s="487">
        <f>1.08*E66</f>
        <v>35.856000000000009</v>
      </c>
      <c r="F67" s="462">
        <v>0</v>
      </c>
      <c r="G67" s="463">
        <v>0</v>
      </c>
      <c r="H67" s="455">
        <f t="shared" si="24"/>
        <v>0</v>
      </c>
      <c r="I67" s="464">
        <v>12.5</v>
      </c>
      <c r="J67" s="464">
        <v>0</v>
      </c>
      <c r="K67" s="102">
        <f t="shared" si="18"/>
        <v>12.5</v>
      </c>
      <c r="L67" s="50">
        <f t="shared" si="19"/>
        <v>0</v>
      </c>
      <c r="M67" s="102">
        <f t="shared" si="20"/>
        <v>0</v>
      </c>
      <c r="N67" s="102">
        <f t="shared" si="21"/>
        <v>448.2</v>
      </c>
      <c r="O67" s="102">
        <f t="shared" si="22"/>
        <v>0</v>
      </c>
      <c r="P67" s="103">
        <f t="shared" si="23"/>
        <v>448.2</v>
      </c>
    </row>
    <row r="68" spans="1:16" s="56" customFormat="1">
      <c r="A68" s="474">
        <v>0</v>
      </c>
      <c r="B68" s="496"/>
      <c r="C68" s="552" t="s">
        <v>1298</v>
      </c>
      <c r="D68" s="486" t="s">
        <v>1284</v>
      </c>
      <c r="E68" s="487">
        <f>4.4*E66</f>
        <v>146.08000000000001</v>
      </c>
      <c r="F68" s="462">
        <v>0</v>
      </c>
      <c r="G68" s="463">
        <v>0</v>
      </c>
      <c r="H68" s="455">
        <f t="shared" si="24"/>
        <v>0</v>
      </c>
      <c r="I68" s="464">
        <v>0.18</v>
      </c>
      <c r="J68" s="464">
        <v>0</v>
      </c>
      <c r="K68" s="102">
        <f t="shared" si="18"/>
        <v>0.18</v>
      </c>
      <c r="L68" s="50">
        <f t="shared" si="19"/>
        <v>0</v>
      </c>
      <c r="M68" s="102">
        <f t="shared" si="20"/>
        <v>0</v>
      </c>
      <c r="N68" s="102">
        <f t="shared" si="21"/>
        <v>26.29</v>
      </c>
      <c r="O68" s="102">
        <f t="shared" si="22"/>
        <v>0</v>
      </c>
      <c r="P68" s="103">
        <f t="shared" si="23"/>
        <v>26.29</v>
      </c>
    </row>
    <row r="69" spans="1:16" s="56" customFormat="1">
      <c r="A69" s="474">
        <v>0</v>
      </c>
      <c r="B69" s="496"/>
      <c r="C69" s="497" t="s">
        <v>1299</v>
      </c>
      <c r="D69" s="486" t="s">
        <v>1284</v>
      </c>
      <c r="E69" s="487">
        <f>0.44*E66</f>
        <v>14.608000000000001</v>
      </c>
      <c r="F69" s="462">
        <v>0</v>
      </c>
      <c r="G69" s="463">
        <v>0</v>
      </c>
      <c r="H69" s="455">
        <f t="shared" si="24"/>
        <v>0</v>
      </c>
      <c r="I69" s="464">
        <v>1.2</v>
      </c>
      <c r="J69" s="464">
        <v>0</v>
      </c>
      <c r="K69" s="102">
        <f t="shared" si="18"/>
        <v>1.2</v>
      </c>
      <c r="L69" s="50">
        <f t="shared" si="19"/>
        <v>0</v>
      </c>
      <c r="M69" s="102">
        <f t="shared" si="20"/>
        <v>0</v>
      </c>
      <c r="N69" s="102">
        <f t="shared" si="21"/>
        <v>17.53</v>
      </c>
      <c r="O69" s="102">
        <f t="shared" si="22"/>
        <v>0</v>
      </c>
      <c r="P69" s="103">
        <f t="shared" si="23"/>
        <v>17.53</v>
      </c>
    </row>
    <row r="70" spans="1:16" s="56" customFormat="1" ht="24.9">
      <c r="A70" s="474">
        <v>24</v>
      </c>
      <c r="B70" s="496"/>
      <c r="C70" s="492" t="s">
        <v>1300</v>
      </c>
      <c r="D70" s="486" t="s">
        <v>29</v>
      </c>
      <c r="E70" s="487">
        <v>23.62</v>
      </c>
      <c r="F70" s="462">
        <v>1.87</v>
      </c>
      <c r="G70" s="463">
        <v>9.5</v>
      </c>
      <c r="H70" s="455">
        <f t="shared" si="24"/>
        <v>17.77</v>
      </c>
      <c r="I70" s="464">
        <v>18</v>
      </c>
      <c r="J70" s="464">
        <v>0.73</v>
      </c>
      <c r="K70" s="102">
        <f t="shared" si="18"/>
        <v>36.499999999999993</v>
      </c>
      <c r="L70" s="50">
        <f t="shared" si="19"/>
        <v>44.17</v>
      </c>
      <c r="M70" s="102">
        <f t="shared" si="20"/>
        <v>419.73</v>
      </c>
      <c r="N70" s="102">
        <f t="shared" si="21"/>
        <v>425.16</v>
      </c>
      <c r="O70" s="102">
        <f t="shared" si="22"/>
        <v>17.239999999999998</v>
      </c>
      <c r="P70" s="103">
        <f t="shared" si="23"/>
        <v>862.13000000000011</v>
      </c>
    </row>
    <row r="71" spans="1:16" s="56" customFormat="1" ht="15.05">
      <c r="A71" s="451">
        <v>0</v>
      </c>
      <c r="B71" s="115"/>
      <c r="C71" s="541" t="s">
        <v>1301</v>
      </c>
      <c r="D71" s="433"/>
      <c r="E71" s="450"/>
      <c r="F71" s="462"/>
      <c r="G71" s="463"/>
      <c r="H71" s="455">
        <f t="shared" si="24"/>
        <v>0</v>
      </c>
      <c r="I71" s="464"/>
      <c r="J71" s="464"/>
      <c r="K71" s="102">
        <f t="shared" si="18"/>
        <v>0</v>
      </c>
      <c r="L71" s="50">
        <f t="shared" si="19"/>
        <v>0</v>
      </c>
      <c r="M71" s="102">
        <f t="shared" si="20"/>
        <v>0</v>
      </c>
      <c r="N71" s="102">
        <f t="shared" si="21"/>
        <v>0</v>
      </c>
      <c r="O71" s="102">
        <f t="shared" si="22"/>
        <v>0</v>
      </c>
      <c r="P71" s="103">
        <f t="shared" si="23"/>
        <v>0</v>
      </c>
    </row>
    <row r="72" spans="1:16" s="56" customFormat="1">
      <c r="A72" s="553">
        <v>25</v>
      </c>
      <c r="B72" s="554"/>
      <c r="C72" s="555" t="s">
        <v>1302</v>
      </c>
      <c r="D72" s="486" t="s">
        <v>29</v>
      </c>
      <c r="E72" s="487">
        <v>10.1</v>
      </c>
      <c r="F72" s="462">
        <v>1.1000000000000001</v>
      </c>
      <c r="G72" s="463">
        <v>9.5</v>
      </c>
      <c r="H72" s="455">
        <f t="shared" si="24"/>
        <v>10.45</v>
      </c>
      <c r="I72" s="464">
        <v>400</v>
      </c>
      <c r="J72" s="464">
        <v>1.5</v>
      </c>
      <c r="K72" s="102">
        <f t="shared" si="18"/>
        <v>411.95</v>
      </c>
      <c r="L72" s="50">
        <f t="shared" si="19"/>
        <v>11.11</v>
      </c>
      <c r="M72" s="102">
        <f t="shared" si="20"/>
        <v>105.55</v>
      </c>
      <c r="N72" s="102">
        <f t="shared" si="21"/>
        <v>4040</v>
      </c>
      <c r="O72" s="102">
        <f t="shared" si="22"/>
        <v>15.15</v>
      </c>
      <c r="P72" s="103">
        <f t="shared" si="23"/>
        <v>4160.7</v>
      </c>
    </row>
    <row r="73" spans="1:16">
      <c r="A73" s="34"/>
      <c r="B73" s="35"/>
      <c r="C73" s="36"/>
      <c r="D73" s="37"/>
      <c r="E73" s="38"/>
      <c r="F73" s="38">
        <f t="shared" ref="F73" si="26">IFERROR(ROUND(H73/G73,2),0)</f>
        <v>0</v>
      </c>
      <c r="G73" s="38">
        <f t="shared" ref="G73" si="27">IF(H73&gt;0,3.75,0)</f>
        <v>0</v>
      </c>
      <c r="H73" s="39"/>
      <c r="I73" s="38"/>
      <c r="J73" s="38"/>
      <c r="K73" s="38"/>
      <c r="L73" s="38"/>
      <c r="M73" s="38"/>
      <c r="N73" s="38"/>
      <c r="O73" s="38"/>
      <c r="P73" s="40"/>
    </row>
    <row r="74" spans="1:16" ht="15.05" customHeight="1">
      <c r="A74" s="41"/>
      <c r="B74" s="41"/>
      <c r="C74" s="932" t="s">
        <v>98</v>
      </c>
      <c r="D74" s="933"/>
      <c r="E74" s="933"/>
      <c r="F74" s="933"/>
      <c r="G74" s="933"/>
      <c r="H74" s="933"/>
      <c r="I74" s="933"/>
      <c r="J74" s="933"/>
      <c r="K74" s="933"/>
      <c r="L74" s="42">
        <f>SUM(L13:L73)</f>
        <v>13319.77</v>
      </c>
      <c r="M74" s="42">
        <f>SUM(M13:M73)</f>
        <v>126314.40000000002</v>
      </c>
      <c r="N74" s="42">
        <f>SUM(N13:N73)</f>
        <v>319187.21000000002</v>
      </c>
      <c r="O74" s="42">
        <f>SUM(O13:O73)</f>
        <v>22366.070000000014</v>
      </c>
      <c r="P74" s="42">
        <f>SUM(P13:P73)</f>
        <v>467867.68000000017</v>
      </c>
    </row>
    <row r="75" spans="1:16" s="125" customFormat="1" collapsed="1">
      <c r="I75" s="146"/>
    </row>
    <row r="76" spans="1:16" s="122" customFormat="1" ht="12.8" customHeight="1">
      <c r="B76" s="147" t="s">
        <v>54</v>
      </c>
    </row>
    <row r="77" spans="1:16" s="122" customFormat="1" ht="45" customHeight="1">
      <c r="A77" s="926" t="str">
        <f>'1,1'!A27:G27</f>
        <v xml:space="preserve"> Būvuzņēmējam jādod pilna apjoma tendera cenu piedāvājums, ieskaitot palīgdarbus  un materiālus, kas nav uzrādīti tāmē, apjomu sarakstā un projektā, bet ir nepieciešami projektētā būvobjekta izbūvei un nodošanai ekspluatācijā.</v>
      </c>
      <c r="B77" s="926"/>
      <c r="C77" s="926"/>
      <c r="D77" s="926"/>
      <c r="E77" s="926"/>
      <c r="F77" s="926"/>
      <c r="G77" s="926"/>
      <c r="H77" s="926"/>
      <c r="I77" s="926"/>
      <c r="J77" s="926"/>
      <c r="K77" s="926"/>
      <c r="L77" s="926"/>
      <c r="M77" s="926"/>
      <c r="N77" s="926"/>
      <c r="O77" s="926"/>
      <c r="P77" s="926"/>
    </row>
    <row r="78" spans="1:16" s="122" customFormat="1" ht="66.8" customHeight="1">
      <c r="A78" s="925"/>
      <c r="B78" s="925"/>
      <c r="C78" s="925"/>
      <c r="D78" s="925"/>
      <c r="E78" s="925"/>
      <c r="F78" s="925"/>
      <c r="G78" s="925"/>
      <c r="H78" s="925"/>
      <c r="I78" s="925"/>
      <c r="J78" s="925"/>
      <c r="K78" s="925"/>
      <c r="L78" s="925"/>
      <c r="M78" s="925"/>
      <c r="N78" s="925"/>
      <c r="O78" s="925"/>
      <c r="P78" s="925"/>
    </row>
    <row r="79" spans="1:16" s="122" customFormat="1" ht="12.8" customHeight="1">
      <c r="B79" s="148"/>
    </row>
    <row r="80" spans="1:16" s="122" customFormat="1" ht="12.8" customHeight="1">
      <c r="B80" s="148"/>
    </row>
    <row r="81" spans="2:16" s="125" customFormat="1">
      <c r="B81" s="125" t="s">
        <v>8</v>
      </c>
      <c r="L81" s="157" t="str">
        <f>Koptame!B39</f>
        <v>Pārbaudīja:</v>
      </c>
      <c r="M81" s="157"/>
      <c r="N81" s="157"/>
      <c r="O81" s="157"/>
      <c r="P81" s="157"/>
    </row>
    <row r="82" spans="2:16" s="125" customFormat="1" ht="14.25" customHeight="1">
      <c r="C82" s="178" t="str">
        <f>Koptame!C34</f>
        <v>Arnis Gailītis</v>
      </c>
      <c r="L82" s="178"/>
      <c r="M82" s="922" t="str">
        <f>Koptame!C40</f>
        <v>Dzintra Cīrule</v>
      </c>
      <c r="N82" s="922"/>
      <c r="O82" s="157"/>
      <c r="P82" s="157"/>
    </row>
    <row r="83" spans="2:16" s="125" customFormat="1">
      <c r="C83" s="179" t="str">
        <f>Koptame!C35</f>
        <v>Sertifikāta Nr.20-5643</v>
      </c>
      <c r="L83" s="179"/>
      <c r="M83" s="923" t="str">
        <f>Koptame!C41</f>
        <v>Sertifikāta Nr.10-0363</v>
      </c>
      <c r="N83" s="923"/>
      <c r="O83" s="157"/>
      <c r="P83" s="157"/>
    </row>
    <row r="84" spans="2:16" s="125" customFormat="1" collapsed="1">
      <c r="B84" s="146"/>
      <c r="F84" s="146"/>
      <c r="G84" s="146"/>
    </row>
  </sheetData>
  <mergeCells count="17">
    <mergeCell ref="M82:N82"/>
    <mergeCell ref="M83:N83"/>
    <mergeCell ref="L11:P11"/>
    <mergeCell ref="A78:P78"/>
    <mergeCell ref="A77:P77"/>
    <mergeCell ref="A11:A12"/>
    <mergeCell ref="B11:B12"/>
    <mergeCell ref="C11:C12"/>
    <mergeCell ref="D11:D12"/>
    <mergeCell ref="C74:K74"/>
    <mergeCell ref="E11:E12"/>
    <mergeCell ref="F11:K11"/>
    <mergeCell ref="A2:P2"/>
    <mergeCell ref="L9:O9"/>
    <mergeCell ref="D3:P3"/>
    <mergeCell ref="D4:P4"/>
    <mergeCell ref="D5:P5"/>
  </mergeCells>
  <conditionalFormatting sqref="E32:E34">
    <cfRule type="expression" dxfId="84" priority="1">
      <formula>#REF!&gt;0</formula>
    </cfRule>
  </conditionalFormatting>
  <printOptions horizontalCentered="1"/>
  <pageMargins left="0.27559055118110237" right="0.27559055118110237" top="0.74803149606299213" bottom="0.74803149606299213" header="0.31496062992125984" footer="0.31496062992125984"/>
  <pageSetup paperSize="9" scale="7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40</vt:i4>
      </vt:variant>
    </vt:vector>
  </HeadingPairs>
  <TitlesOfParts>
    <vt:vector size="77" baseType="lpstr">
      <vt:lpstr>Koptame</vt:lpstr>
      <vt:lpstr>kops1</vt:lpstr>
      <vt:lpstr>1,1</vt:lpstr>
      <vt:lpstr>1,2</vt:lpstr>
      <vt:lpstr>1,3</vt:lpstr>
      <vt:lpstr>1,4</vt:lpstr>
      <vt:lpstr>1,5</vt:lpstr>
      <vt:lpstr>1,6</vt:lpstr>
      <vt:lpstr>1,7</vt:lpstr>
      <vt:lpstr>1,8</vt:lpstr>
      <vt:lpstr>1,9</vt:lpstr>
      <vt:lpstr>1,10</vt:lpstr>
      <vt:lpstr>1,11</vt:lpstr>
      <vt:lpstr>kops2</vt:lpstr>
      <vt:lpstr>2,1</vt:lpstr>
      <vt:lpstr>2,2</vt:lpstr>
      <vt:lpstr>2,3</vt:lpstr>
      <vt:lpstr>2,4</vt:lpstr>
      <vt:lpstr>2,5</vt:lpstr>
      <vt:lpstr>2,6</vt:lpstr>
      <vt:lpstr>2,7</vt:lpstr>
      <vt:lpstr>2,8</vt:lpstr>
      <vt:lpstr>2,9</vt:lpstr>
      <vt:lpstr>2,10</vt:lpstr>
      <vt:lpstr>2,11</vt:lpstr>
      <vt:lpstr>2,12</vt:lpstr>
      <vt:lpstr>2,13</vt:lpstr>
      <vt:lpstr>kops3</vt:lpstr>
      <vt:lpstr>3,1</vt:lpstr>
      <vt:lpstr>3,2</vt:lpstr>
      <vt:lpstr>3,3</vt:lpstr>
      <vt:lpstr>3,4</vt:lpstr>
      <vt:lpstr>3,5</vt:lpstr>
      <vt:lpstr>3,6</vt:lpstr>
      <vt:lpstr>3,7</vt:lpstr>
      <vt:lpstr>kops4</vt:lpstr>
      <vt:lpstr>4,1</vt:lpstr>
      <vt:lpstr>'1,3'!Print_Area</vt:lpstr>
      <vt:lpstr>'2,3'!Print_Area</vt:lpstr>
      <vt:lpstr>'3,3'!Print_Area</vt:lpstr>
      <vt:lpstr>Koptame!Print_Area</vt:lpstr>
      <vt:lpstr>'1,1'!Print_Titles</vt:lpstr>
      <vt:lpstr>'1,10'!Print_Titles</vt:lpstr>
      <vt:lpstr>'1,11'!Print_Titles</vt:lpstr>
      <vt:lpstr>'1,2'!Print_Titles</vt:lpstr>
      <vt:lpstr>'1,3'!Print_Titles</vt:lpstr>
      <vt:lpstr>'1,4'!Print_Titles</vt:lpstr>
      <vt:lpstr>'1,5'!Print_Titles</vt:lpstr>
      <vt:lpstr>'1,6'!Print_Titles</vt:lpstr>
      <vt:lpstr>'1,7'!Print_Titles</vt:lpstr>
      <vt:lpstr>'1,8'!Print_Titles</vt:lpstr>
      <vt:lpstr>'1,9'!Print_Titles</vt:lpstr>
      <vt:lpstr>'2,1'!Print_Titles</vt:lpstr>
      <vt:lpstr>'2,10'!Print_Titles</vt:lpstr>
      <vt:lpstr>'2,11'!Print_Titles</vt:lpstr>
      <vt:lpstr>'2,12'!Print_Titles</vt:lpstr>
      <vt:lpstr>'2,13'!Print_Titles</vt:lpstr>
      <vt:lpstr>'2,2'!Print_Titles</vt:lpstr>
      <vt:lpstr>'2,3'!Print_Titles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'3,4'!Print_Titles</vt:lpstr>
      <vt:lpstr>'3,5'!Print_Titles</vt:lpstr>
      <vt:lpstr>'3,6'!Print_Titles</vt:lpstr>
      <vt:lpstr>'3,7'!Print_Titles</vt:lpstr>
      <vt:lpstr>'4,1'!Print_Titles</vt:lpstr>
      <vt:lpstr>kops1!Print_Titles</vt:lpstr>
      <vt:lpstr>kops2!Print_Titles</vt:lpstr>
      <vt:lpstr>kops3!Print_Titles</vt:lpstr>
      <vt:lpstr>kops4!Print_Titles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DATORS</dc:creator>
  <cp:lastModifiedBy>Windows User</cp:lastModifiedBy>
  <cp:lastPrinted>2018-07-10T08:00:24Z</cp:lastPrinted>
  <dcterms:created xsi:type="dcterms:W3CDTF">2011-09-07T11:49:58Z</dcterms:created>
  <dcterms:modified xsi:type="dcterms:W3CDTF">2018-07-17T08:55:49Z</dcterms:modified>
</cp:coreProperties>
</file>